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ocuments\01 CARBURA\11 Projekte\VOC-Erklärung\VOC Korrektur FLugpetrol\webpage\"/>
    </mc:Choice>
  </mc:AlternateContent>
  <xr:revisionPtr revIDLastSave="0" documentId="13_ncr:1_{A700D815-581E-4910-AE91-0A1B72DFDFB7}" xr6:coauthVersionLast="46" xr6:coauthVersionMax="46" xr10:uidLastSave="{00000000-0000-0000-0000-000000000000}"/>
  <workbookProtection workbookPassword="E81E" lockStructure="1"/>
  <bookViews>
    <workbookView xWindow="1785" yWindow="585" windowWidth="17535" windowHeight="11250" xr2:uid="{00000000-000D-0000-FFFF-FFFF00000000}"/>
  </bookViews>
  <sheets>
    <sheet name="Titelblatt_Zusammenfassung" sheetId="1" r:id="rId1"/>
    <sheet name="Emissionserklärung Benzin" sheetId="2" r:id="rId2"/>
    <sheet name="Emissionserklärung Flugpetrol" sheetId="3" r:id="rId3"/>
  </sheets>
  <definedNames>
    <definedName name="_xlnm._FilterDatabase" localSheetId="1" hidden="1">'Emissionserklärung Benzin'!$H$5:$H$7</definedName>
    <definedName name="Benzin">'Emissionserklärung Benzin'!$H$5:$H1048573</definedName>
    <definedName name="_xlnm.Print_Area" localSheetId="1">'Emissionserklärung Benzin'!$A$1:$G$120</definedName>
    <definedName name="_xlnm.Print_Area" localSheetId="2">'Emissionserklärung Flugpetrol'!$A$1:$G$85</definedName>
    <definedName name="Tanktyp">'Emissionserklärung Benzin'!$H$10:$H$12</definedName>
    <definedName name="Z_E1EFECED_200B_4694_B1B1_39596CE047E7_.wvu.FilterData" localSheetId="1" hidden="1">'Emissionserklärung Benzin'!$H$5:$H$7</definedName>
    <definedName name="Z_E1EFECED_200B_4694_B1B1_39596CE047E7_.wvu.PrintArea" localSheetId="1" hidden="1">'Emissionserklärung Benzin'!$A$1:$G$120</definedName>
    <definedName name="Z_E1EFECED_200B_4694_B1B1_39596CE047E7_.wvu.PrintArea" localSheetId="2" hidden="1">'Emissionserklärung Flugpetrol'!$A$1:$G$85</definedName>
    <definedName name="Z_E1EFECED_200B_4694_B1B1_39596CE047E7_.wvu.PrintArea" localSheetId="0" hidden="1">Titelblatt_Zusammenfassung!$A$1:$G$38</definedName>
  </definedNames>
  <calcPr calcId="191029"/>
  <customWorkbookViews>
    <customWorkbookView name="Lea Herzig - Persönliche Ansicht" guid="{E1EFECED-200B-4694-B1B1-39596CE047E7}" mergeInterval="0" personalView="1" maximized="1" windowWidth="1916" windowHeight="8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3" l="1"/>
  <c r="F68" i="3"/>
  <c r="F67" i="3"/>
  <c r="F66" i="3"/>
  <c r="F65" i="3"/>
  <c r="F43" i="3"/>
  <c r="F44" i="3" s="1"/>
  <c r="F40" i="3"/>
  <c r="F39" i="3"/>
  <c r="F41" i="3" s="1"/>
  <c r="F36" i="3"/>
  <c r="F35" i="3"/>
  <c r="F37" i="3" s="1"/>
  <c r="F27" i="3"/>
  <c r="F28" i="3" s="1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F56" i="3" l="1"/>
  <c r="F46" i="3"/>
  <c r="F93" i="2"/>
  <c r="F42" i="2" l="1"/>
  <c r="F43" i="2" s="1"/>
  <c r="I48" i="2" l="1"/>
  <c r="B66" i="3" l="1"/>
  <c r="B67" i="3"/>
  <c r="B68" i="3"/>
  <c r="B69" i="3"/>
  <c r="B65" i="3"/>
  <c r="I65" i="2" l="1"/>
  <c r="F58" i="2"/>
  <c r="F56" i="2"/>
  <c r="D64" i="3" l="1"/>
  <c r="B64" i="3"/>
  <c r="F64" i="3" s="1"/>
  <c r="F71" i="3" s="1"/>
  <c r="E101" i="2" l="1"/>
  <c r="F70" i="2"/>
  <c r="F71" i="2" s="1"/>
  <c r="I39" i="2" l="1"/>
  <c r="I57" i="2" s="1"/>
  <c r="I49" i="2" l="1"/>
  <c r="I36" i="2" l="1"/>
  <c r="I17" i="2"/>
  <c r="I18" i="2"/>
  <c r="I19" i="2"/>
  <c r="I20" i="2" l="1"/>
  <c r="I16" i="2"/>
  <c r="I64" i="2" l="1"/>
  <c r="I68" i="2"/>
  <c r="I71" i="2" l="1"/>
  <c r="F59" i="2" s="1"/>
  <c r="I5" i="2"/>
  <c r="F57" i="2" l="1"/>
  <c r="B100" i="2"/>
  <c r="F51" i="2" l="1"/>
  <c r="F50" i="2"/>
  <c r="I40" i="2" l="1"/>
  <c r="I53" i="2" l="1"/>
  <c r="I52" i="2"/>
  <c r="I43" i="2" l="1"/>
  <c r="I45" i="2"/>
  <c r="I51" i="2"/>
  <c r="I50" i="2"/>
  <c r="I44" i="2" l="1"/>
  <c r="I42" i="2" s="1"/>
  <c r="I98" i="2"/>
  <c r="F78" i="2"/>
  <c r="B103" i="2" l="1"/>
  <c r="B104" i="2"/>
  <c r="F85" i="3"/>
  <c r="F120" i="2"/>
  <c r="F79" i="2" l="1"/>
  <c r="F80" i="2"/>
  <c r="F81" i="2"/>
  <c r="F82" i="2"/>
  <c r="I13" i="2" l="1"/>
  <c r="I14" i="2"/>
  <c r="F52" i="2"/>
  <c r="F53" i="2" l="1"/>
  <c r="F61" i="2" s="1"/>
  <c r="I15" i="2"/>
  <c r="I21" i="2"/>
  <c r="I22" i="2"/>
  <c r="I23" i="2"/>
  <c r="I24" i="2"/>
  <c r="I25" i="2"/>
  <c r="F32" i="1"/>
  <c r="E28" i="1"/>
  <c r="F84" i="2"/>
  <c r="E29" i="1" s="1"/>
  <c r="E30" i="1"/>
  <c r="B105" i="2"/>
  <c r="E32" i="1"/>
  <c r="I6" i="2"/>
  <c r="I7" i="2"/>
  <c r="I8" i="2"/>
  <c r="I9" i="2"/>
  <c r="I10" i="2"/>
  <c r="I11" i="2"/>
  <c r="I12" i="2"/>
  <c r="E64" i="3"/>
  <c r="E65" i="3"/>
  <c r="D66" i="3"/>
  <c r="E67" i="3"/>
  <c r="D68" i="3"/>
  <c r="E69" i="3"/>
  <c r="D69" i="3"/>
  <c r="E68" i="3"/>
  <c r="E66" i="3"/>
  <c r="D67" i="3"/>
  <c r="D65" i="3"/>
  <c r="F30" i="1" l="1"/>
  <c r="F27" i="1"/>
  <c r="E27" i="1" l="1"/>
  <c r="F31" i="1" l="1"/>
  <c r="F34" i="1" s="1"/>
  <c r="F37" i="1" s="1"/>
  <c r="E103" i="2"/>
  <c r="F103" i="2" s="1"/>
  <c r="B101" i="2"/>
  <c r="B102" i="2"/>
  <c r="E100" i="2"/>
  <c r="F100" i="2" s="1"/>
  <c r="E102" i="2"/>
  <c r="E104" i="2" l="1"/>
  <c r="F104" i="2" s="1"/>
  <c r="D101" i="2"/>
  <c r="D103" i="2"/>
  <c r="D100" i="2"/>
  <c r="D105" i="2"/>
  <c r="D102" i="2"/>
  <c r="F101" i="2"/>
  <c r="E105" i="2"/>
  <c r="F105" i="2" s="1"/>
  <c r="D104" i="2"/>
  <c r="F102" i="2"/>
  <c r="F107" i="2" l="1"/>
  <c r="E31" i="1" s="1"/>
  <c r="E34" i="1" s="1"/>
  <c r="E37" i="1" s="1"/>
  <c r="E38" i="1" s="1"/>
  <c r="E35" i="1" l="1"/>
</calcChain>
</file>

<file path=xl/sharedStrings.xml><?xml version="1.0" encoding="utf-8"?>
<sst xmlns="http://schemas.openxmlformats.org/spreadsheetml/2006/main" count="432" uniqueCount="257">
  <si>
    <t>     </t>
  </si>
  <si>
    <t>VRU</t>
  </si>
  <si>
    <t>Lagertanks</t>
  </si>
  <si>
    <r>
      <t>m</t>
    </r>
    <r>
      <rPr>
        <vertAlign val="superscript"/>
        <sz val="10.5"/>
        <rFont val="Arial"/>
        <family val="2"/>
      </rPr>
      <t>3</t>
    </r>
  </si>
  <si>
    <r>
      <t>m</t>
    </r>
    <r>
      <rPr>
        <vertAlign val="superscript"/>
        <sz val="10.5"/>
        <rFont val="Arial"/>
        <family val="2"/>
      </rPr>
      <t>3</t>
    </r>
    <r>
      <rPr>
        <sz val="10.5"/>
        <rFont val="Arial"/>
        <family val="2"/>
      </rPr>
      <t>/a</t>
    </r>
  </si>
  <si>
    <t>kg/a</t>
  </si>
  <si>
    <t>h/a</t>
  </si>
  <si>
    <r>
      <t>g/m</t>
    </r>
    <r>
      <rPr>
        <vertAlign val="superscript"/>
        <sz val="10.5"/>
        <rFont val="Arial"/>
        <family val="2"/>
      </rPr>
      <t>3</t>
    </r>
  </si>
  <si>
    <t>g/h</t>
  </si>
  <si>
    <t>kg</t>
  </si>
  <si>
    <r>
      <t>m</t>
    </r>
    <r>
      <rPr>
        <vertAlign val="superscript"/>
        <sz val="10.5"/>
        <rFont val="Arial"/>
        <family val="2"/>
      </rPr>
      <t>3</t>
    </r>
    <r>
      <rPr>
        <sz val="10.5"/>
        <rFont val="Arial"/>
        <family val="2"/>
      </rPr>
      <t>/h</t>
    </r>
  </si>
  <si>
    <t>kg/h</t>
  </si>
  <si>
    <t>[mbar]</t>
  </si>
  <si>
    <t>Borsig</t>
  </si>
  <si>
    <t>Kaldair</t>
  </si>
  <si>
    <t>John Zink</t>
  </si>
  <si>
    <t>AGA</t>
  </si>
  <si>
    <t>:</t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</si>
  <si>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</si>
  <si>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/h]</t>
    </r>
  </si>
  <si>
    <r>
      <t>[g/m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</si>
  <si>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</si>
  <si>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</si>
  <si>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t>Hilfsfeld für Emissionen Schwimmdachtank [Umschlag/Durchmesser]</t>
  </si>
  <si>
    <t>FP6</t>
  </si>
  <si>
    <t>FP5</t>
  </si>
  <si>
    <t>FP4</t>
  </si>
  <si>
    <t>FP1</t>
  </si>
  <si>
    <t>B6</t>
  </si>
  <si>
    <t>B5</t>
  </si>
  <si>
    <t>B4</t>
  </si>
  <si>
    <t>B3</t>
  </si>
  <si>
    <t>B2</t>
  </si>
  <si>
    <t>B1</t>
  </si>
  <si>
    <t>B0</t>
  </si>
  <si>
    <t>FP0</t>
  </si>
  <si>
    <t>Parameter</t>
  </si>
  <si>
    <t>nsd</t>
  </si>
  <si>
    <t>nvd</t>
  </si>
  <si>
    <t>f</t>
  </si>
  <si>
    <t>FAS</t>
  </si>
  <si>
    <t>FAW</t>
  </si>
  <si>
    <t>cnw</t>
  </si>
  <si>
    <t>ds</t>
  </si>
  <si>
    <t>dw</t>
  </si>
  <si>
    <t>Tn</t>
  </si>
  <si>
    <t>K</t>
  </si>
  <si>
    <t>hPa</t>
  </si>
  <si>
    <t>d/a</t>
  </si>
  <si>
    <t>kg/m3</t>
  </si>
  <si>
    <t>T1W</t>
  </si>
  <si>
    <t>T1S</t>
  </si>
  <si>
    <t>T2S</t>
  </si>
  <si>
    <t>T2W</t>
  </si>
  <si>
    <t>p</t>
  </si>
  <si>
    <t>LAa</t>
  </si>
  <si>
    <t>VB</t>
  </si>
  <si>
    <t>Gasraum VG</t>
  </si>
  <si>
    <t>fB</t>
  </si>
  <si>
    <t>cn mittel</t>
  </si>
  <si>
    <t>Lba</t>
  </si>
  <si>
    <t>pn/PA</t>
  </si>
  <si>
    <t>C</t>
  </si>
  <si>
    <t>m</t>
  </si>
  <si>
    <t>P1</t>
  </si>
  <si>
    <t>bar</t>
  </si>
  <si>
    <t>P2</t>
  </si>
  <si>
    <t>Total</t>
  </si>
  <si>
    <t>Restbelastung</t>
  </si>
  <si>
    <t>g/m3</t>
  </si>
  <si>
    <t>Gasvolumen</t>
  </si>
  <si>
    <t>Höhe Membrane</t>
  </si>
  <si>
    <t>Wert</t>
  </si>
  <si>
    <t>Einheit</t>
  </si>
  <si>
    <t>Tab.7, S.19</t>
  </si>
  <si>
    <t>Tab.9, S.27</t>
  </si>
  <si>
    <t>Tab.8, S.26</t>
  </si>
  <si>
    <t>Tab.10, S.28</t>
  </si>
  <si>
    <t>(5), S.37</t>
  </si>
  <si>
    <t>Tab.12, S.37</t>
  </si>
  <si>
    <t>Ref. VDI</t>
  </si>
  <si>
    <t>(1),S.36</t>
  </si>
  <si>
    <t>(5), Berechnung CARBURA</t>
  </si>
  <si>
    <t>(7), S.38</t>
  </si>
  <si>
    <t>(9), S.38</t>
  </si>
  <si>
    <t>(15), S.40</t>
  </si>
  <si>
    <t>(8), S.38</t>
  </si>
  <si>
    <t>(8). S.38</t>
  </si>
  <si>
    <t>Umgebungsdruck</t>
  </si>
  <si>
    <t>T1Sh</t>
  </si>
  <si>
    <t>T2Sh</t>
  </si>
  <si>
    <t>SommerTemp</t>
  </si>
  <si>
    <t>Sommertage Volumenstrom</t>
  </si>
  <si>
    <t>cns SO</t>
  </si>
  <si>
    <t>cns WI</t>
  </si>
  <si>
    <t>Las</t>
  </si>
  <si>
    <t>Lash</t>
  </si>
  <si>
    <t>Law</t>
  </si>
  <si>
    <t>Faktor cn</t>
  </si>
  <si>
    <t>Änderungen</t>
  </si>
  <si>
    <t>v3</t>
  </si>
  <si>
    <t>Unterscheidung Sommer-/Winterbenzin, unterschiedliches Cn</t>
  </si>
  <si>
    <t>Einführung von Sommertagen mit höheren Emissionen</t>
  </si>
  <si>
    <t>v4</t>
  </si>
  <si>
    <t>Löschen Produkt/Tanktyp/LRV-Typ "Andere"</t>
  </si>
  <si>
    <t>Zusammenführen von Tanktyp und LRV typ, 3 Optionen</t>
  </si>
  <si>
    <t>Schwimmdachtanks</t>
  </si>
  <si>
    <t>M</t>
  </si>
  <si>
    <t>kg/mol</t>
  </si>
  <si>
    <t>(23), S.42</t>
  </si>
  <si>
    <t>Tab.3, S.14</t>
  </si>
  <si>
    <t>KC</t>
  </si>
  <si>
    <t>(23), S.43</t>
  </si>
  <si>
    <t>LP</t>
  </si>
  <si>
    <t>(21), S.42</t>
  </si>
  <si>
    <t>(25), S.43</t>
  </si>
  <si>
    <t>KF</t>
  </si>
  <si>
    <t>kmol/a</t>
  </si>
  <si>
    <t>Tab.14, S.44</t>
  </si>
  <si>
    <t>KR</t>
  </si>
  <si>
    <t>kmol/(m*a)</t>
  </si>
  <si>
    <t>Tab.13, S.43</t>
  </si>
  <si>
    <t>(27), S.45</t>
  </si>
  <si>
    <t>WL</t>
  </si>
  <si>
    <t>Z</t>
  </si>
  <si>
    <t>LW</t>
  </si>
  <si>
    <t>v5</t>
  </si>
  <si>
    <t>Hitzetemp tiefer gesetzt, da mit v3 und Umschlag jetzt Emissionen generell zu hoch (20 und 40 ° anstatt 14 und 45)</t>
  </si>
  <si>
    <t>v6</t>
  </si>
  <si>
    <t>cn mittel korrigiert, da mit Anzahl Sommer- und Wintertage gewichtet werden muss. Sonst zu hoch.</t>
  </si>
  <si>
    <t>Von H bis L hat es "weisse" Zellen</t>
  </si>
  <si>
    <t>v7</t>
  </si>
  <si>
    <t>http://www.office-loesung.de/ftopic10945_0_0_asc.php</t>
  </si>
  <si>
    <t>P Dampfdruck Sommerbenzin</t>
  </si>
  <si>
    <t>P Dampfdruck Winterbenzin</t>
  </si>
  <si>
    <t>v8</t>
  </si>
  <si>
    <t>Schwimmdachtank, Unterscheidung von Sommer und Winterbenzin</t>
  </si>
  <si>
    <t>p* Sommerbenzin</t>
  </si>
  <si>
    <t>p* Winterbenzin</t>
  </si>
  <si>
    <t>Säuberung von Formeln, wo kann der Benutzer Werte eingeben, Schreibschutz</t>
  </si>
  <si>
    <t>Déclaration d'émissions COV</t>
  </si>
  <si>
    <t>Année d'observation:</t>
  </si>
  <si>
    <t>Dépôt:</t>
  </si>
  <si>
    <t>Personne responsable</t>
  </si>
  <si>
    <t>Nom, prénom:</t>
  </si>
  <si>
    <t>Adresse Email:</t>
  </si>
  <si>
    <t>Numéro de téléphone:</t>
  </si>
  <si>
    <t>Pour la conformité des indications</t>
  </si>
  <si>
    <t>Lieu, Date:</t>
  </si>
  <si>
    <t>Timbre et signatures:</t>
  </si>
  <si>
    <t>Résumé des émissions COV</t>
  </si>
  <si>
    <t>B1/FP1: Emissions des réservoirs</t>
  </si>
  <si>
    <t>B2: Emissions de la VRU</t>
  </si>
  <si>
    <t>B3: Emissions de la soupape de sécurité</t>
  </si>
  <si>
    <t>B4/FP4: Emissions des armatures et brides</t>
  </si>
  <si>
    <t>B5/FP5: Nettoyages de réservoirs</t>
  </si>
  <si>
    <t>Total émissions COV (par année)</t>
  </si>
  <si>
    <t>Emissions COV moyennes (par heure)</t>
  </si>
  <si>
    <t>Essence</t>
  </si>
  <si>
    <t>Pétrole aviation</t>
  </si>
  <si>
    <t>Données de base pour les réservoirs d'essence et le dépôt</t>
  </si>
  <si>
    <t>Rés. no</t>
  </si>
  <si>
    <t>Produit</t>
  </si>
  <si>
    <r>
      <t>Volume utile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</si>
  <si>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 xml:space="preserve">Type de réservoir + 
„Système OPair“ </t>
    </r>
    <r>
      <rPr>
        <b/>
        <vertAlign val="superscript"/>
        <sz val="10"/>
        <rFont val="Arial"/>
        <family val="2"/>
      </rPr>
      <t>1)</t>
    </r>
  </si>
  <si>
    <t>Diamètre [m]</t>
  </si>
  <si>
    <r>
      <t>Entrées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/a]</t>
    </r>
  </si>
  <si>
    <t>Diamètre 
[m]</t>
  </si>
  <si>
    <t>Le tableau suivant résume les données de base pour le système d'équilibrage des gaz et le transvasement des produits: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</si>
  <si>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Dispositif pour la réduction des émissions.</t>
    </r>
  </si>
  <si>
    <t>Gazomètre</t>
  </si>
  <si>
    <t>Volume utile</t>
  </si>
  <si>
    <t>Pression de service</t>
  </si>
  <si>
    <t>Pression d'échappement</t>
  </si>
  <si>
    <t>Fabricant</t>
  </si>
  <si>
    <t>Puissance</t>
  </si>
  <si>
    <t>Valeur d'émission COV</t>
  </si>
  <si>
    <t>Valeur d'émission benzène</t>
  </si>
  <si>
    <t>Réservoirs</t>
  </si>
  <si>
    <t>Surpression max.</t>
  </si>
  <si>
    <t>Dépression max.</t>
  </si>
  <si>
    <t>Soupape de sécurité</t>
  </si>
  <si>
    <t>Pression d'ouverture</t>
  </si>
  <si>
    <t>Transvasement</t>
  </si>
  <si>
    <t>Entrées d'essence au dépôt</t>
  </si>
  <si>
    <t>Sorties d'essence du dépôt</t>
  </si>
  <si>
    <t>Emissions des réservoirs</t>
  </si>
  <si>
    <t>Nombre de jour d’été (Temp. &gt; 25°C):</t>
  </si>
  <si>
    <t>Entrées d’essence dans réservoirs à toit fixe ventilés:</t>
  </si>
  <si>
    <t>Emissions COV des réservoirs à toit fixe par année</t>
  </si>
  <si>
    <t>Emissions COV des réservoirs avec toit flottant:</t>
  </si>
  <si>
    <t>Nombre de réservoirs à toit flottant avec essence d'été:</t>
  </si>
  <si>
    <t>Nombre de réservoirs à toit flottant avec essence d'hiver:</t>
  </si>
  <si>
    <t>Emissions COV de tous les réservoirs par année</t>
  </si>
  <si>
    <t>Emissions de la VRU</t>
  </si>
  <si>
    <t>Le tableau suivant calcule les émissions COV de la VRU:</t>
  </si>
  <si>
    <t>Heures d'exploitation:</t>
  </si>
  <si>
    <t>Valeur d'émissions COV mesurée le:</t>
  </si>
  <si>
    <t>Emissions COV (par heure)</t>
  </si>
  <si>
    <t>Emissions COV (par année)</t>
  </si>
  <si>
    <t>Le tableau suivant calcule les émissions COV de la soupape de sécurité (voir chapitre 3.4):</t>
  </si>
  <si>
    <t>Date</t>
  </si>
  <si>
    <r>
      <t>Volume de gaz [m</t>
    </r>
    <r>
      <rPr>
        <b/>
        <vertAlign val="superscript"/>
        <sz val="10.5"/>
        <rFont val="Arial"/>
        <family val="2"/>
      </rPr>
      <t>3</t>
    </r>
    <r>
      <rPr>
        <b/>
        <sz val="10.5"/>
        <rFont val="Arial"/>
        <family val="2"/>
      </rPr>
      <t>]</t>
    </r>
  </si>
  <si>
    <t>Emission COV</t>
  </si>
  <si>
    <t>Total émissions COV de la soupape de sécurité</t>
  </si>
  <si>
    <t>Armatures et brides</t>
  </si>
  <si>
    <t>Le tableau suivant calcule les émissions COV des armatures et brides:</t>
  </si>
  <si>
    <r>
      <t xml:space="preserve">Puissance pompe </t>
    </r>
    <r>
      <rPr>
        <b/>
        <sz val="10.5"/>
        <rFont val="Arial"/>
        <family val="2"/>
      </rPr>
      <t>de remplissage</t>
    </r>
    <r>
      <rPr>
        <sz val="10.5"/>
        <rFont val="Arial"/>
        <family val="2"/>
      </rPr>
      <t xml:space="preserve"> d'essence:</t>
    </r>
  </si>
  <si>
    <r>
      <t xml:space="preserve">Puissance pompe </t>
    </r>
    <r>
      <rPr>
        <b/>
        <sz val="10.5"/>
        <rFont val="Arial"/>
        <family val="2"/>
      </rPr>
      <t>de déstockage</t>
    </r>
    <r>
      <rPr>
        <sz val="10.5"/>
        <rFont val="Arial"/>
        <family val="2"/>
      </rPr>
      <t xml:space="preserve"> d'essence:</t>
    </r>
  </si>
  <si>
    <t>Total émissions COV des armatures et brides</t>
  </si>
  <si>
    <t>Nettoyages de réservoirs</t>
  </si>
  <si>
    <t>Le tableau suivant calcule les émissions COV des nettoyages de réservoirs:</t>
  </si>
  <si>
    <t>Type de réservoir</t>
  </si>
  <si>
    <r>
      <t>Vol. utile [m</t>
    </r>
    <r>
      <rPr>
        <b/>
        <vertAlign val="superscript"/>
        <sz val="10.5"/>
        <rFont val="Arial"/>
        <family val="2"/>
      </rPr>
      <t>3</t>
    </r>
    <r>
      <rPr>
        <b/>
        <sz val="10.5"/>
        <rFont val="Arial"/>
        <family val="2"/>
      </rPr>
      <t>]</t>
    </r>
  </si>
  <si>
    <t>Total émissions COV des nettoyages de réservoirs</t>
  </si>
  <si>
    <t>Veuillez décrire l'événement:</t>
  </si>
  <si>
    <t>Essence d'été</t>
  </si>
  <si>
    <t>Essence d'hiver</t>
  </si>
  <si>
    <t>Réservoir à toit flottant</t>
  </si>
  <si>
    <t>Fabricat</t>
  </si>
  <si>
    <t>Otres</t>
  </si>
  <si>
    <t>Armatures</t>
  </si>
  <si>
    <t>Pompe</t>
  </si>
  <si>
    <t>Bride</t>
  </si>
  <si>
    <t>Données de base pour les réservoirs de pétrole aviation et le dépôt</t>
  </si>
  <si>
    <t>Le tableau suivant résume les données concernant le transvasement de pétrole aviation:</t>
  </si>
  <si>
    <t>Entrées au dépôt</t>
  </si>
  <si>
    <t>Sorties du dépôt</t>
  </si>
  <si>
    <t>Le tableau suivant calcule les émissions COV des réservoirs:</t>
  </si>
  <si>
    <r>
      <t xml:space="preserve">Volume utile de pétrole aviation de tous les réservoirs à toit fixe ventilés librement </t>
    </r>
    <r>
      <rPr>
        <b/>
        <sz val="10.5"/>
        <rFont val="Arial"/>
        <family val="2"/>
      </rPr>
      <t>avec membrane intérieure</t>
    </r>
    <r>
      <rPr>
        <sz val="10.5"/>
        <rFont val="Arial"/>
        <family val="2"/>
      </rPr>
      <t>:</t>
    </r>
  </si>
  <si>
    <r>
      <t xml:space="preserve">Entrées de pétrole aviation dans des réservoirs à toit fixe </t>
    </r>
    <r>
      <rPr>
        <b/>
        <sz val="10.5"/>
        <rFont val="Arial"/>
        <family val="2"/>
      </rPr>
      <t>avec membrane intérieure</t>
    </r>
    <r>
      <rPr>
        <sz val="10.5"/>
        <rFont val="Arial"/>
        <family val="2"/>
      </rPr>
      <t>:</t>
    </r>
  </si>
  <si>
    <t>Emissions COV des rés. à toit fixe avec membrane intérieure par année</t>
  </si>
  <si>
    <r>
      <t xml:space="preserve">Volume utile de pétrole aviation de tous les réservoirs à toit fixe ventilés librement </t>
    </r>
    <r>
      <rPr>
        <b/>
        <sz val="10.5"/>
        <rFont val="Arial"/>
        <family val="2"/>
      </rPr>
      <t>sans membrane intérieure</t>
    </r>
    <r>
      <rPr>
        <sz val="10.5"/>
        <rFont val="Arial"/>
        <family val="2"/>
      </rPr>
      <t>:</t>
    </r>
  </si>
  <si>
    <r>
      <t xml:space="preserve">Entrées de pétrole aviation dans des réservoirs à toit fixe ventilés librement </t>
    </r>
    <r>
      <rPr>
        <b/>
        <sz val="10.5"/>
        <rFont val="Arial"/>
        <family val="2"/>
      </rPr>
      <t>sans membrane intérieure</t>
    </r>
    <r>
      <rPr>
        <sz val="10.5"/>
        <rFont val="Arial"/>
        <family val="2"/>
      </rPr>
      <t>:</t>
    </r>
  </si>
  <si>
    <t>Emissions COV des rés. à toit fixe sans membrane intérieure par année</t>
  </si>
  <si>
    <r>
      <t xml:space="preserve">Nombre de </t>
    </r>
    <r>
      <rPr>
        <b/>
        <sz val="10.5"/>
        <rFont val="Arial"/>
        <family val="2"/>
      </rPr>
      <t>réservoirs à toit flottant</t>
    </r>
    <r>
      <rPr>
        <sz val="10.5"/>
        <rFont val="Arial"/>
        <family val="2"/>
      </rPr>
      <t xml:space="preserve"> avec pétrole aviation</t>
    </r>
  </si>
  <si>
    <t>Emissions COV des réservoirs à toit flottant par année</t>
  </si>
  <si>
    <r>
      <t xml:space="preserve">Puissance pompe </t>
    </r>
    <r>
      <rPr>
        <b/>
        <sz val="10.5"/>
        <rFont val="Arial"/>
        <family val="2"/>
      </rPr>
      <t>de remplissage</t>
    </r>
    <r>
      <rPr>
        <sz val="10.5"/>
        <rFont val="Arial"/>
        <family val="2"/>
      </rPr>
      <t xml:space="preserve"> de pétrole aviation:</t>
    </r>
  </si>
  <si>
    <r>
      <t xml:space="preserve">Puissance pompe </t>
    </r>
    <r>
      <rPr>
        <b/>
        <sz val="10.5"/>
        <rFont val="Arial"/>
        <family val="2"/>
      </rPr>
      <t xml:space="preserve">de déstockage </t>
    </r>
    <r>
      <rPr>
        <sz val="10.5"/>
        <rFont val="Arial"/>
        <family val="2"/>
      </rPr>
      <t>de pétrole aviation:</t>
    </r>
  </si>
  <si>
    <t>Rés. à toit fixe ventilé librement</t>
  </si>
  <si>
    <t>Rés. à toit fixe ventilé librement avec membrane</t>
  </si>
  <si>
    <t>Rés. à toit fixe fermé avec équilibrage des gaz</t>
  </si>
  <si>
    <t>Rés. à toit fixe avec membrane</t>
  </si>
  <si>
    <t>Rés. à toit flottant</t>
  </si>
  <si>
    <t>Volume utile des rés. à toit fixe ventilés avec essence d'été:</t>
  </si>
  <si>
    <t xml:space="preserve">Emissions COV rés. à toit flottant avec essence d'été par année </t>
  </si>
  <si>
    <t xml:space="preserve">Emissions COV rés. à toit flottant avec essence d'hiver par année </t>
  </si>
  <si>
    <t>Volume utile des rés. à toit fixe ventilés avec essence d'hiver:</t>
  </si>
  <si>
    <t>Emissions COV des rés. à toit fixe ventilés librement avec membrane intérieure flottante :</t>
  </si>
  <si>
    <t>B6/FP6: Evénements exceptionnels</t>
  </si>
  <si>
    <t>Evénements exceptionnels et commentaires généraux</t>
  </si>
  <si>
    <t>Total émissions COV des événements exceptionnels</t>
  </si>
  <si>
    <t>v8a</t>
  </si>
  <si>
    <t>Korrektur Formel für Schwimmdachtanks-Winterbenzin in Zelle F59</t>
  </si>
  <si>
    <t>Korrektur Link zu Meteodaten</t>
  </si>
  <si>
    <t>mf / 27.04.2020</t>
  </si>
  <si>
    <t>(utiliser données climatiques de l'OFS)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</si>
</sst>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00"/>
    <numFmt numFmtId="167" formatCode="_ * #,##0.000_ ;_ * \-#,##0.000_ ;_ * &quot;-&quot;??_ ;_ @_ "/>
    <numFmt numFmtId="168" formatCode="_ * #,##0.0000_ ;_ * \-#,##0.0000_ ;_ * &quot;-&quot;??_ ;_ @_ "/>
    <numFmt numFmtId="169" formatCode="_ * #,##0.00000_ ;_ * \-#,##0.00000_ ;_ * &quot;-&quot;??_ ;_ @_ "/>
  </numFmts>
  <fonts count="42" x14ac:knownFonts="1">
    <font>
      <sz val="11"/>
      <name val="Times New Roman"/>
    </font>
    <font>
      <sz val="11"/>
      <name val="Times New Roman"/>
      <family val="1"/>
    </font>
    <font>
      <sz val="10.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.5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28"/>
      <name val="Arial"/>
      <family val="2"/>
    </font>
    <font>
      <sz val="28"/>
      <name val="Times New Roman"/>
      <family val="1"/>
    </font>
    <font>
      <sz val="2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24"/>
      <name val="Arial"/>
      <family val="2"/>
    </font>
    <font>
      <b/>
      <sz val="11"/>
      <name val="Times New Roman"/>
      <family val="1"/>
    </font>
    <font>
      <b/>
      <sz val="10.5"/>
      <color theme="0"/>
      <name val="Arial"/>
      <family val="2"/>
    </font>
    <font>
      <sz val="10"/>
      <name val="Arial"/>
      <family val="2"/>
    </font>
    <font>
      <u/>
      <sz val="11"/>
      <color theme="10"/>
      <name val="Times New Roman"/>
      <family val="1"/>
    </font>
    <font>
      <vertAlign val="superscript"/>
      <sz val="9"/>
      <name val="Arial"/>
      <family val="2"/>
    </font>
    <font>
      <sz val="10.5"/>
      <color rgb="FF00B0F0"/>
      <name val="Arial"/>
      <family val="2"/>
    </font>
    <font>
      <b/>
      <sz val="10.5"/>
      <color rgb="FF00B0F0"/>
      <name val="Arial"/>
      <family val="2"/>
    </font>
    <font>
      <sz val="10.5"/>
      <color rgb="FF00B050"/>
      <name val="Arial"/>
      <family val="2"/>
    </font>
    <font>
      <b/>
      <sz val="10.5"/>
      <color rgb="FF00B050"/>
      <name val="Arial"/>
      <family val="2"/>
    </font>
    <font>
      <b/>
      <sz val="13.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0"/>
      <name val="Times New Roman"/>
      <family val="1"/>
    </font>
    <font>
      <sz val="6"/>
      <color theme="0" tint="-0.14999847407452621"/>
      <name val="Arial"/>
      <family val="2"/>
    </font>
    <font>
      <sz val="10.5"/>
      <color rgb="FFFF0000"/>
      <name val="Arial"/>
      <family val="2"/>
    </font>
    <font>
      <sz val="10"/>
      <color rgb="FFFF0000"/>
      <name val="Arial"/>
      <family val="2"/>
    </font>
    <font>
      <b/>
      <sz val="10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15" fillId="0" borderId="0" xfId="0" applyFont="1" applyBorder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justify"/>
    </xf>
    <xf numFmtId="0" fontId="11" fillId="0" borderId="0" xfId="0" applyFont="1" applyProtection="1"/>
    <xf numFmtId="0" fontId="14" fillId="0" borderId="0" xfId="0" applyFont="1" applyAlignment="1" applyProtection="1">
      <alignment horizontal="left"/>
    </xf>
    <xf numFmtId="0" fontId="2" fillId="0" borderId="0" xfId="0" applyFont="1" applyBorder="1" applyProtection="1"/>
    <xf numFmtId="43" fontId="2" fillId="0" borderId="1" xfId="1" applyFont="1" applyBorder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right" vertical="top" wrapText="1"/>
    </xf>
    <xf numFmtId="165" fontId="2" fillId="0" borderId="0" xfId="1" applyNumberFormat="1" applyFont="1" applyProtection="1"/>
    <xf numFmtId="0" fontId="2" fillId="0" borderId="0" xfId="0" applyFont="1" applyBorder="1" applyAlignment="1" applyProtection="1">
      <alignment horizontal="justify" vertical="top" wrapText="1"/>
    </xf>
    <xf numFmtId="165" fontId="2" fillId="0" borderId="3" xfId="1" applyNumberFormat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/>
    </xf>
    <xf numFmtId="43" fontId="13" fillId="0" borderId="1" xfId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justify"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justify" vertical="center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165" fontId="8" fillId="0" borderId="3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justify" vertical="center" wrapText="1"/>
    </xf>
    <xf numFmtId="14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justify" vertical="center" wrapText="1"/>
    </xf>
    <xf numFmtId="165" fontId="2" fillId="0" borderId="3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165" fontId="2" fillId="4" borderId="3" xfId="1" applyNumberFormat="1" applyFont="1" applyFill="1" applyBorder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165" fontId="2" fillId="0" borderId="6" xfId="1" applyNumberFormat="1" applyFont="1" applyBorder="1" applyAlignment="1" applyProtection="1">
      <alignment vertical="center"/>
    </xf>
    <xf numFmtId="165" fontId="2" fillId="0" borderId="3" xfId="1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justify" vertical="center"/>
    </xf>
    <xf numFmtId="0" fontId="13" fillId="0" borderId="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165" fontId="11" fillId="0" borderId="6" xfId="1" applyNumberFormat="1" applyFont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5" fontId="6" fillId="2" borderId="1" xfId="1" applyNumberFormat="1" applyFont="1" applyFill="1" applyBorder="1" applyAlignment="1" applyProtection="1">
      <alignment horizontal="justify" vertical="center" wrapText="1"/>
      <protection locked="0"/>
    </xf>
    <xf numFmtId="164" fontId="6" fillId="2" borderId="1" xfId="1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43" fontId="2" fillId="0" borderId="3" xfId="1" applyFont="1" applyBorder="1" applyAlignment="1" applyProtection="1">
      <alignment vertical="center"/>
    </xf>
    <xf numFmtId="164" fontId="2" fillId="0" borderId="3" xfId="1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justify" vertical="center" wrapText="1"/>
    </xf>
    <xf numFmtId="0" fontId="6" fillId="0" borderId="12" xfId="0" applyFont="1" applyFill="1" applyBorder="1" applyAlignment="1" applyProtection="1">
      <alignment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0" fontId="9" fillId="0" borderId="12" xfId="0" applyFont="1" applyFill="1" applyBorder="1" applyAlignment="1" applyProtection="1">
      <alignment vertical="center" wrapText="1"/>
    </xf>
    <xf numFmtId="164" fontId="6" fillId="0" borderId="12" xfId="1" applyNumberFormat="1" applyFont="1" applyFill="1" applyBorder="1" applyAlignment="1" applyProtection="1">
      <alignment horizontal="justify" vertical="center" wrapText="1"/>
    </xf>
    <xf numFmtId="165" fontId="2" fillId="0" borderId="1" xfId="1" applyNumberFormat="1" applyFont="1" applyBorder="1" applyProtection="1"/>
    <xf numFmtId="165" fontId="2" fillId="0" borderId="0" xfId="0" applyNumberFormat="1" applyFont="1" applyProtection="1"/>
    <xf numFmtId="165" fontId="8" fillId="0" borderId="1" xfId="1" applyNumberFormat="1" applyFont="1" applyBorder="1" applyAlignment="1" applyProtection="1">
      <alignment horizontal="center"/>
    </xf>
    <xf numFmtId="165" fontId="2" fillId="0" borderId="3" xfId="1" applyNumberFormat="1" applyFont="1" applyBorder="1" applyProtection="1"/>
    <xf numFmtId="165" fontId="2" fillId="3" borderId="3" xfId="1" applyNumberFormat="1" applyFont="1" applyFill="1" applyBorder="1" applyProtection="1"/>
    <xf numFmtId="43" fontId="2" fillId="0" borderId="1" xfId="1" applyNumberFormat="1" applyFont="1" applyBorder="1" applyProtection="1"/>
    <xf numFmtId="43" fontId="8" fillId="0" borderId="1" xfId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/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1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14" fillId="0" borderId="0" xfId="0" applyFont="1" applyAlignment="1" applyProtection="1"/>
    <xf numFmtId="0" fontId="19" fillId="0" borderId="0" xfId="0" applyFont="1"/>
    <xf numFmtId="0" fontId="22" fillId="0" borderId="0" xfId="0" applyFont="1"/>
    <xf numFmtId="0" fontId="22" fillId="0" borderId="0" xfId="0" applyFont="1" applyAlignment="1" applyProtection="1">
      <alignment horizontal="justify"/>
    </xf>
    <xf numFmtId="0" fontId="22" fillId="0" borderId="0" xfId="0" applyFont="1" applyProtection="1"/>
    <xf numFmtId="0" fontId="20" fillId="0" borderId="0" xfId="0" applyFont="1" applyAlignment="1" applyProtection="1">
      <alignment horizontal="left"/>
    </xf>
    <xf numFmtId="0" fontId="22" fillId="0" borderId="0" xfId="0" applyFont="1" applyBorder="1" applyProtection="1"/>
    <xf numFmtId="0" fontId="24" fillId="0" borderId="0" xfId="0" applyFont="1" applyProtection="1"/>
    <xf numFmtId="0" fontId="24" fillId="0" borderId="0" xfId="0" applyFont="1"/>
    <xf numFmtId="0" fontId="17" fillId="0" borderId="0" xfId="0" applyFont="1" applyAlignment="1" applyProtection="1"/>
    <xf numFmtId="0" fontId="18" fillId="0" borderId="0" xfId="0" applyFont="1" applyAlignment="1" applyProtection="1"/>
    <xf numFmtId="0" fontId="6" fillId="2" borderId="1" xfId="0" applyFont="1" applyFill="1" applyBorder="1" applyAlignment="1" applyProtection="1">
      <alignment horizontal="justify" vertical="top" wrapText="1"/>
      <protection locked="0"/>
    </xf>
    <xf numFmtId="165" fontId="6" fillId="2" borderId="1" xfId="1" applyNumberFormat="1" applyFont="1" applyFill="1" applyBorder="1" applyAlignment="1" applyProtection="1">
      <alignment horizontal="justify" vertical="top" wrapText="1"/>
      <protection locked="0"/>
    </xf>
    <xf numFmtId="164" fontId="6" fillId="2" borderId="1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4" fontId="0" fillId="0" borderId="13" xfId="1" applyNumberFormat="1" applyFont="1" applyBorder="1" applyAlignment="1" applyProtection="1">
      <alignment vertical="center"/>
    </xf>
    <xf numFmtId="165" fontId="11" fillId="0" borderId="1" xfId="1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center" wrapText="1"/>
    </xf>
    <xf numFmtId="165" fontId="6" fillId="0" borderId="0" xfId="1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justify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9" fontId="30" fillId="0" borderId="0" xfId="0" applyNumberFormat="1" applyFont="1" applyFill="1" applyAlignment="1">
      <alignment vertical="center"/>
    </xf>
    <xf numFmtId="165" fontId="30" fillId="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164" fontId="36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0" fontId="37" fillId="0" borderId="0" xfId="2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3" fontId="16" fillId="0" borderId="0" xfId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165" fontId="16" fillId="0" borderId="0" xfId="1" applyNumberFormat="1" applyFont="1" applyFill="1" applyAlignment="1">
      <alignment vertical="center"/>
    </xf>
    <xf numFmtId="167" fontId="16" fillId="0" borderId="0" xfId="1" applyNumberFormat="1" applyFont="1" applyFill="1" applyAlignment="1">
      <alignment vertical="center"/>
    </xf>
    <xf numFmtId="9" fontId="16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1" fontId="1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64" fontId="16" fillId="0" borderId="0" xfId="1" applyNumberFormat="1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9" fontId="16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indent="1"/>
    </xf>
    <xf numFmtId="0" fontId="28" fillId="0" borderId="0" xfId="2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" xfId="1" applyNumberFormat="1" applyFont="1" applyBorder="1" applyAlignment="1" applyProtection="1">
      <alignment vertical="center"/>
    </xf>
    <xf numFmtId="0" fontId="17" fillId="0" borderId="0" xfId="0" applyFont="1" applyAlignment="1" applyProtection="1"/>
    <xf numFmtId="0" fontId="18" fillId="0" borderId="0" xfId="0" applyFont="1" applyAlignment="1" applyProtection="1"/>
    <xf numFmtId="0" fontId="22" fillId="2" borderId="13" xfId="0" applyFont="1" applyFill="1" applyBorder="1" applyAlignment="1" applyProtection="1">
      <protection locked="0"/>
    </xf>
    <xf numFmtId="0" fontId="15" fillId="2" borderId="13" xfId="0" applyFont="1" applyFill="1" applyBorder="1" applyAlignment="1" applyProtection="1">
      <alignment horizontal="left"/>
      <protection locked="0"/>
    </xf>
    <xf numFmtId="0" fontId="15" fillId="2" borderId="13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14" fillId="0" borderId="0" xfId="0" applyFont="1" applyAlignment="1" applyProtection="1"/>
    <xf numFmtId="0" fontId="0" fillId="0" borderId="0" xfId="0" applyAlignment="1" applyProtection="1"/>
    <xf numFmtId="0" fontId="20" fillId="0" borderId="0" xfId="0" applyFont="1" applyAlignment="1" applyProtection="1">
      <alignment horizontal="justify"/>
    </xf>
    <xf numFmtId="0" fontId="23" fillId="0" borderId="0" xfId="0" applyFont="1" applyAlignment="1" applyProtection="1"/>
    <xf numFmtId="0" fontId="20" fillId="0" borderId="0" xfId="0" applyFont="1" applyAlignment="1" applyProtection="1"/>
    <xf numFmtId="0" fontId="21" fillId="0" borderId="0" xfId="0" applyFont="1" applyAlignment="1" applyProtection="1"/>
    <xf numFmtId="0" fontId="8" fillId="0" borderId="3" xfId="0" applyFont="1" applyBorder="1" applyAlignment="1" applyProtection="1">
      <alignment horizontal="left" vertical="top"/>
    </xf>
    <xf numFmtId="0" fontId="25" fillId="0" borderId="2" xfId="0" applyFont="1" applyBorder="1" applyAlignment="1" applyProtection="1"/>
    <xf numFmtId="0" fontId="25" fillId="0" borderId="6" xfId="0" applyFont="1" applyBorder="1" applyAlignment="1" applyProtection="1"/>
    <xf numFmtId="0" fontId="2" fillId="0" borderId="3" xfId="0" applyFont="1" applyBorder="1" applyAlignment="1" applyProtection="1">
      <alignment vertical="top"/>
    </xf>
    <xf numFmtId="0" fontId="0" fillId="0" borderId="2" xfId="0" applyBorder="1" applyAlignment="1" applyProtection="1"/>
    <xf numFmtId="0" fontId="0" fillId="0" borderId="6" xfId="0" applyBorder="1" applyAlignment="1" applyProtection="1"/>
    <xf numFmtId="0" fontId="2" fillId="0" borderId="3" xfId="0" applyFont="1" applyBorder="1" applyAlignment="1" applyProtection="1">
      <alignment horizontal="left" vertical="top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164" fontId="11" fillId="2" borderId="3" xfId="1" applyNumberFormat="1" applyFont="1" applyFill="1" applyBorder="1" applyAlignment="1" applyProtection="1">
      <alignment vertical="center"/>
      <protection locked="0"/>
    </xf>
    <xf numFmtId="164" fontId="11" fillId="0" borderId="6" xfId="0" applyNumberFormat="1" applyFont="1" applyBorder="1" applyAlignment="1" applyProtection="1">
      <alignment vertical="center"/>
      <protection locked="0"/>
    </xf>
    <xf numFmtId="164" fontId="11" fillId="2" borderId="1" xfId="1" applyNumberFormat="1" applyFont="1" applyFill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vertical="center"/>
      <protection locked="0"/>
    </xf>
    <xf numFmtId="15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65" fontId="11" fillId="2" borderId="3" xfId="1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165" fontId="11" fillId="0" borderId="3" xfId="1" applyNumberFormat="1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165" fontId="11" fillId="2" borderId="3" xfId="1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165" fontId="11" fillId="2" borderId="3" xfId="1" applyNumberFormat="1" applyFont="1" applyFill="1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43" fontId="11" fillId="2" borderId="3" xfId="1" applyNumberFormat="1" applyFont="1" applyFill="1" applyBorder="1" applyAlignment="1" applyProtection="1">
      <protection locked="0"/>
    </xf>
    <xf numFmtId="43" fontId="11" fillId="0" borderId="6" xfId="0" applyNumberFormat="1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65" fontId="11" fillId="0" borderId="3" xfId="1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2" xfId="0" applyBorder="1" applyAlignment="1">
      <alignment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fice-loesung.de/ftopic10945_0_0_asc.php" TargetMode="External"/><Relationship Id="rId2" Type="http://schemas.openxmlformats.org/officeDocument/2006/relationships/hyperlink" Target="https://www.bfs.admin.ch/bfs/fr/home/statistiques/espace-environnement/indicateurs-environnement/tous-les-indicateurs/etat-environnement/temperature-air.html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N39"/>
  <sheetViews>
    <sheetView showGridLines="0" tabSelected="1" view="pageLayout" zoomScale="115" zoomScaleNormal="100" zoomScalePageLayoutView="115" workbookViewId="0">
      <selection activeCell="E6" sqref="E6:G6"/>
    </sheetView>
  </sheetViews>
  <sheetFormatPr baseColWidth="10" defaultColWidth="11.42578125" defaultRowHeight="13.5" x14ac:dyDescent="0.2"/>
  <cols>
    <col min="1" max="1" width="8.85546875" style="1" customWidth="1"/>
    <col min="2" max="2" width="9.7109375" style="1" customWidth="1"/>
    <col min="3" max="3" width="11.42578125" style="1"/>
    <col min="4" max="4" width="17.85546875" style="1" customWidth="1"/>
    <col min="5" max="5" width="14.85546875" style="1" customWidth="1"/>
    <col min="6" max="6" width="13.5703125" style="1" customWidth="1"/>
    <col min="7" max="10" width="11.42578125" style="1"/>
    <col min="11" max="11" width="15.42578125" style="1" customWidth="1"/>
    <col min="12" max="12" width="11.42578125" style="1"/>
    <col min="13" max="13" width="16.85546875" style="1" customWidth="1"/>
    <col min="14" max="16384" width="11.42578125" style="1"/>
  </cols>
  <sheetData>
    <row r="1" spans="1:7" s="102" customFormat="1" ht="35.25" x14ac:dyDescent="0.5">
      <c r="A1" s="177" t="s">
        <v>140</v>
      </c>
      <c r="B1" s="178"/>
      <c r="C1" s="178"/>
      <c r="D1" s="178"/>
      <c r="E1" s="178"/>
      <c r="F1" s="178"/>
      <c r="G1" s="178"/>
    </row>
    <row r="2" spans="1:7" s="102" customFormat="1" ht="11.25" customHeight="1" x14ac:dyDescent="0.5">
      <c r="A2" s="110"/>
      <c r="B2" s="111"/>
      <c r="C2" s="111"/>
      <c r="D2" s="111"/>
      <c r="E2" s="111"/>
      <c r="F2" s="111"/>
      <c r="G2" s="111"/>
    </row>
    <row r="3" spans="1:7" x14ac:dyDescent="0.2">
      <c r="A3" s="3"/>
      <c r="B3" s="3"/>
      <c r="C3" s="3"/>
      <c r="D3" s="3"/>
      <c r="E3" s="3"/>
      <c r="F3" s="3"/>
      <c r="G3" s="3"/>
    </row>
    <row r="4" spans="1:7" ht="30" x14ac:dyDescent="0.4">
      <c r="A4" s="183" t="s">
        <v>141</v>
      </c>
      <c r="B4" s="184"/>
      <c r="C4" s="184"/>
      <c r="D4" s="184"/>
      <c r="E4" s="180"/>
      <c r="F4" s="180"/>
      <c r="G4" s="180"/>
    </row>
    <row r="5" spans="1:7" x14ac:dyDescent="0.2">
      <c r="A5" s="3"/>
      <c r="B5" s="3"/>
      <c r="C5" s="3"/>
      <c r="D5" s="3"/>
      <c r="E5" s="3"/>
      <c r="F5" s="3"/>
      <c r="G5" s="3"/>
    </row>
    <row r="6" spans="1:7" ht="30" x14ac:dyDescent="0.4">
      <c r="A6" s="183" t="s">
        <v>142</v>
      </c>
      <c r="B6" s="184"/>
      <c r="C6" s="184"/>
      <c r="D6" s="184"/>
      <c r="E6" s="181"/>
      <c r="F6" s="181"/>
      <c r="G6" s="181"/>
    </row>
    <row r="7" spans="1:7" x14ac:dyDescent="0.2">
      <c r="A7" s="3"/>
      <c r="B7" s="3"/>
      <c r="C7" s="3"/>
      <c r="D7" s="3"/>
      <c r="E7" s="3"/>
      <c r="F7" s="3"/>
      <c r="G7" s="3"/>
    </row>
    <row r="8" spans="1:7" ht="30" x14ac:dyDescent="0.4">
      <c r="A8" s="183" t="s">
        <v>143</v>
      </c>
      <c r="B8" s="184"/>
      <c r="C8" s="184"/>
      <c r="D8" s="184"/>
      <c r="E8" s="184"/>
      <c r="F8" s="3"/>
      <c r="G8" s="3"/>
    </row>
    <row r="9" spans="1:7" ht="15" x14ac:dyDescent="0.2">
      <c r="A9" s="3"/>
      <c r="B9" s="3"/>
      <c r="C9" s="3"/>
      <c r="D9" s="3"/>
      <c r="E9" s="2"/>
      <c r="F9" s="2"/>
      <c r="G9" s="2"/>
    </row>
    <row r="10" spans="1:7" s="103" customFormat="1" ht="20.25" x14ac:dyDescent="0.3">
      <c r="A10" s="187" t="s">
        <v>144</v>
      </c>
      <c r="B10" s="188"/>
      <c r="C10" s="188"/>
      <c r="D10" s="188"/>
      <c r="E10" s="181"/>
      <c r="F10" s="181"/>
      <c r="G10" s="181"/>
    </row>
    <row r="11" spans="1:7" s="103" customFormat="1" ht="20.25" x14ac:dyDescent="0.3">
      <c r="A11" s="104"/>
      <c r="B11" s="105"/>
      <c r="C11" s="105"/>
      <c r="D11" s="105"/>
      <c r="E11" s="3"/>
      <c r="F11" s="3"/>
      <c r="G11" s="3"/>
    </row>
    <row r="12" spans="1:7" s="103" customFormat="1" ht="20.25" x14ac:dyDescent="0.3">
      <c r="A12" s="187" t="s">
        <v>145</v>
      </c>
      <c r="B12" s="188"/>
      <c r="C12" s="188"/>
      <c r="D12" s="188"/>
      <c r="E12" s="181"/>
      <c r="F12" s="181"/>
      <c r="G12" s="181"/>
    </row>
    <row r="13" spans="1:7" s="103" customFormat="1" ht="20.25" x14ac:dyDescent="0.3">
      <c r="A13" s="104"/>
      <c r="B13" s="105"/>
      <c r="C13" s="105"/>
      <c r="D13" s="105"/>
      <c r="E13" s="3"/>
      <c r="F13" s="3"/>
      <c r="G13" s="3"/>
    </row>
    <row r="14" spans="1:7" s="103" customFormat="1" ht="20.25" x14ac:dyDescent="0.3">
      <c r="A14" s="185" t="s">
        <v>146</v>
      </c>
      <c r="B14" s="186"/>
      <c r="C14" s="186"/>
      <c r="D14" s="186"/>
      <c r="E14" s="182"/>
      <c r="F14" s="182"/>
      <c r="G14" s="182"/>
    </row>
    <row r="15" spans="1:7" ht="14.25" x14ac:dyDescent="0.2">
      <c r="A15" s="4"/>
      <c r="B15" s="5"/>
      <c r="C15" s="5"/>
      <c r="D15" s="3"/>
      <c r="E15" s="3"/>
      <c r="F15" s="3"/>
      <c r="G15" s="3"/>
    </row>
    <row r="16" spans="1:7" ht="14.25" x14ac:dyDescent="0.2">
      <c r="A16" s="4"/>
      <c r="B16" s="5"/>
      <c r="C16" s="5"/>
      <c r="D16" s="3"/>
      <c r="E16" s="3"/>
      <c r="F16" s="3"/>
      <c r="G16" s="3"/>
    </row>
    <row r="17" spans="1:14" ht="30" x14ac:dyDescent="0.4">
      <c r="A17" s="6" t="s">
        <v>147</v>
      </c>
      <c r="B17" s="5"/>
      <c r="C17" s="5"/>
      <c r="D17" s="7"/>
      <c r="E17" s="7"/>
      <c r="F17" s="7"/>
      <c r="G17" s="7"/>
    </row>
    <row r="18" spans="1:14" ht="14.25" x14ac:dyDescent="0.2">
      <c r="A18" s="4"/>
      <c r="B18" s="5"/>
      <c r="C18" s="5"/>
      <c r="D18" s="3"/>
      <c r="E18" s="3"/>
      <c r="F18" s="3"/>
      <c r="G18" s="3"/>
    </row>
    <row r="19" spans="1:14" s="103" customFormat="1" ht="20.25" x14ac:dyDescent="0.3">
      <c r="A19" s="106" t="s">
        <v>148</v>
      </c>
      <c r="B19" s="105"/>
      <c r="C19" s="105"/>
      <c r="D19" s="107"/>
      <c r="E19" s="182"/>
      <c r="F19" s="182"/>
      <c r="G19" s="182"/>
    </row>
    <row r="20" spans="1:14" s="103" customFormat="1" ht="20.25" x14ac:dyDescent="0.3">
      <c r="A20" s="104"/>
      <c r="B20" s="105"/>
      <c r="C20" s="105"/>
      <c r="D20" s="105"/>
      <c r="E20" s="105"/>
      <c r="F20" s="105"/>
      <c r="G20" s="105"/>
    </row>
    <row r="21" spans="1:14" s="103" customFormat="1" ht="20.25" x14ac:dyDescent="0.3">
      <c r="A21" s="106" t="s">
        <v>149</v>
      </c>
      <c r="B21" s="105"/>
      <c r="C21" s="105"/>
      <c r="D21" s="107"/>
      <c r="E21" s="179"/>
      <c r="F21" s="179"/>
      <c r="G21" s="179"/>
    </row>
    <row r="22" spans="1:14" x14ac:dyDescent="0.2">
      <c r="A22" s="3"/>
      <c r="B22" s="3"/>
      <c r="C22" s="3"/>
      <c r="D22" s="3"/>
      <c r="E22" s="3"/>
      <c r="F22" s="3"/>
      <c r="G22" s="3"/>
    </row>
    <row r="23" spans="1:14" x14ac:dyDescent="0.2">
      <c r="A23" s="3"/>
      <c r="B23" s="3"/>
      <c r="C23" s="3"/>
      <c r="D23" s="3"/>
      <c r="E23" s="3"/>
      <c r="F23" s="3"/>
      <c r="G23" s="3"/>
    </row>
    <row r="24" spans="1:14" s="109" customFormat="1" ht="30" x14ac:dyDescent="0.4">
      <c r="A24" s="101" t="s">
        <v>150</v>
      </c>
      <c r="B24" s="108"/>
      <c r="C24" s="108"/>
      <c r="D24" s="108"/>
      <c r="E24" s="108"/>
      <c r="F24" s="108"/>
      <c r="G24" s="108"/>
    </row>
    <row r="25" spans="1:14" ht="14.25" x14ac:dyDescent="0.2">
      <c r="A25" s="4"/>
      <c r="B25" s="5"/>
      <c r="C25" s="5"/>
      <c r="D25" s="3"/>
      <c r="E25" s="3"/>
      <c r="F25" s="3"/>
      <c r="G25" s="3"/>
      <c r="H25" s="96"/>
      <c r="I25" s="96"/>
      <c r="J25" s="96"/>
      <c r="K25" s="96"/>
      <c r="L25" s="96"/>
      <c r="M25" s="96"/>
      <c r="N25" s="96"/>
    </row>
    <row r="26" spans="1:14" ht="27" x14ac:dyDescent="0.2">
      <c r="A26" s="4"/>
      <c r="B26" s="5"/>
      <c r="C26" s="5"/>
      <c r="D26" s="3"/>
      <c r="E26" s="138" t="s">
        <v>158</v>
      </c>
      <c r="F26" s="138" t="s">
        <v>159</v>
      </c>
      <c r="G26" s="3"/>
      <c r="H26" s="96"/>
      <c r="I26" s="96"/>
      <c r="J26" s="96"/>
      <c r="K26" s="96"/>
      <c r="L26" s="96"/>
      <c r="M26" s="96"/>
      <c r="N26" s="96"/>
    </row>
    <row r="27" spans="1:14" ht="15" x14ac:dyDescent="0.25">
      <c r="A27" s="192" t="s">
        <v>151</v>
      </c>
      <c r="B27" s="193"/>
      <c r="C27" s="193"/>
      <c r="D27" s="194"/>
      <c r="E27" s="88">
        <f>'Emissionserklärung Benzin'!F61</f>
        <v>0</v>
      </c>
      <c r="F27" s="91">
        <f>'Emissionserklärung Flugpetrol'!F46</f>
        <v>0</v>
      </c>
      <c r="G27" s="99" t="s">
        <v>5</v>
      </c>
      <c r="H27" s="97"/>
      <c r="I27" s="97"/>
      <c r="J27" s="97"/>
      <c r="K27" s="97"/>
      <c r="L27" s="97"/>
      <c r="M27" s="97"/>
      <c r="N27" s="96"/>
    </row>
    <row r="28" spans="1:14" ht="15" x14ac:dyDescent="0.25">
      <c r="A28" s="195" t="s">
        <v>152</v>
      </c>
      <c r="B28" s="193"/>
      <c r="C28" s="193"/>
      <c r="D28" s="194"/>
      <c r="E28" s="88">
        <f>'Emissionserklärung Benzin'!F71</f>
        <v>0</v>
      </c>
      <c r="F28" s="92"/>
      <c r="G28" s="99" t="s">
        <v>5</v>
      </c>
      <c r="H28" s="97"/>
      <c r="I28" s="97"/>
      <c r="J28" s="97"/>
      <c r="K28" s="97"/>
      <c r="L28" s="97"/>
      <c r="M28" s="97"/>
      <c r="N28" s="96"/>
    </row>
    <row r="29" spans="1:14" ht="15" x14ac:dyDescent="0.25">
      <c r="A29" s="195" t="s">
        <v>153</v>
      </c>
      <c r="B29" s="193"/>
      <c r="C29" s="193"/>
      <c r="D29" s="194"/>
      <c r="E29" s="88">
        <f>'Emissionserklärung Benzin'!F84</f>
        <v>0</v>
      </c>
      <c r="F29" s="92"/>
      <c r="G29" s="99" t="s">
        <v>5</v>
      </c>
      <c r="H29" s="97"/>
      <c r="I29" s="97"/>
      <c r="J29" s="97"/>
      <c r="K29" s="97"/>
      <c r="L29" s="97"/>
      <c r="M29" s="97"/>
      <c r="N29" s="96"/>
    </row>
    <row r="30" spans="1:14" ht="15" x14ac:dyDescent="0.25">
      <c r="A30" s="195" t="s">
        <v>154</v>
      </c>
      <c r="B30" s="193"/>
      <c r="C30" s="193"/>
      <c r="D30" s="194"/>
      <c r="E30" s="88">
        <f>'Emissionserklärung Benzin'!F93</f>
        <v>0</v>
      </c>
      <c r="F30" s="91">
        <f>'Emissionserklärung Flugpetrol'!F56</f>
        <v>0</v>
      </c>
      <c r="G30" s="99" t="s">
        <v>5</v>
      </c>
      <c r="H30" s="97"/>
      <c r="I30" s="97"/>
      <c r="J30" s="97"/>
      <c r="K30" s="97"/>
      <c r="L30" s="97"/>
      <c r="M30" s="97"/>
      <c r="N30" s="96"/>
    </row>
    <row r="31" spans="1:14" ht="15" x14ac:dyDescent="0.25">
      <c r="A31" s="195" t="s">
        <v>155</v>
      </c>
      <c r="B31" s="193"/>
      <c r="C31" s="193"/>
      <c r="D31" s="194"/>
      <c r="E31" s="88">
        <f>'Emissionserklärung Benzin'!F107</f>
        <v>0</v>
      </c>
      <c r="F31" s="91">
        <f>'Emissionserklärung Flugpetrol'!F71</f>
        <v>0</v>
      </c>
      <c r="G31" s="99" t="s">
        <v>5</v>
      </c>
      <c r="H31" s="97"/>
      <c r="I31" s="97"/>
      <c r="J31" s="97"/>
      <c r="K31" s="97"/>
      <c r="L31" s="97"/>
      <c r="M31" s="97"/>
      <c r="N31" s="96"/>
    </row>
    <row r="32" spans="1:14" ht="15" x14ac:dyDescent="0.25">
      <c r="A32" s="195" t="s">
        <v>249</v>
      </c>
      <c r="B32" s="193"/>
      <c r="C32" s="193"/>
      <c r="D32" s="194"/>
      <c r="E32" s="88">
        <f>'Emissionserklärung Benzin'!F120</f>
        <v>0</v>
      </c>
      <c r="F32" s="91">
        <f>'Emissionserklärung Flugpetrol'!F85</f>
        <v>0</v>
      </c>
      <c r="G32" s="99" t="s">
        <v>5</v>
      </c>
      <c r="H32" s="97"/>
      <c r="I32" s="97"/>
      <c r="J32" s="97"/>
      <c r="K32" s="97"/>
      <c r="L32" s="97"/>
      <c r="M32" s="97"/>
      <c r="N32" s="96"/>
    </row>
    <row r="33" spans="1:14" x14ac:dyDescent="0.2">
      <c r="A33" s="9"/>
      <c r="B33" s="10"/>
      <c r="C33" s="3"/>
      <c r="D33" s="3"/>
      <c r="E33" s="89"/>
      <c r="F33" s="11"/>
      <c r="G33" s="12"/>
      <c r="H33" s="97"/>
      <c r="I33" s="97"/>
      <c r="J33" s="97"/>
      <c r="K33" s="97"/>
      <c r="L33" s="97"/>
      <c r="M33" s="97"/>
      <c r="N33" s="96"/>
    </row>
    <row r="34" spans="1:14" ht="15" x14ac:dyDescent="0.25">
      <c r="A34" s="189" t="s">
        <v>156</v>
      </c>
      <c r="B34" s="193"/>
      <c r="C34" s="193"/>
      <c r="D34" s="194"/>
      <c r="E34" s="88">
        <f>SUM(E27:E33)</f>
        <v>0</v>
      </c>
      <c r="F34" s="91">
        <f>SUM(F27:F33)</f>
        <v>0</v>
      </c>
      <c r="G34" s="100" t="s">
        <v>5</v>
      </c>
      <c r="H34" s="97"/>
      <c r="I34" s="97"/>
      <c r="J34" s="97"/>
      <c r="K34" s="97"/>
      <c r="L34" s="97"/>
      <c r="M34" s="97"/>
      <c r="N34" s="96"/>
    </row>
    <row r="35" spans="1:14" ht="15" x14ac:dyDescent="0.25">
      <c r="A35" s="9"/>
      <c r="B35" s="10"/>
      <c r="C35" s="3"/>
      <c r="D35" s="3"/>
      <c r="E35" s="90">
        <f>E34+F34</f>
        <v>0</v>
      </c>
      <c r="F35" s="16" t="s">
        <v>5</v>
      </c>
      <c r="G35" s="12"/>
      <c r="H35" s="97"/>
      <c r="I35" s="97"/>
      <c r="J35" s="97"/>
      <c r="K35" s="97"/>
      <c r="L35" s="97"/>
      <c r="M35" s="97"/>
      <c r="N35" s="96"/>
    </row>
    <row r="36" spans="1:14" x14ac:dyDescent="0.2">
      <c r="A36" s="9"/>
      <c r="B36" s="10"/>
      <c r="C36" s="3"/>
      <c r="D36" s="3"/>
      <c r="E36" s="89"/>
      <c r="F36" s="11"/>
      <c r="G36" s="12"/>
      <c r="H36" s="97"/>
      <c r="I36" s="97"/>
      <c r="J36" s="97"/>
      <c r="K36" s="97"/>
      <c r="L36" s="97"/>
      <c r="M36" s="97"/>
      <c r="N36" s="96"/>
    </row>
    <row r="37" spans="1:14" ht="14.25" x14ac:dyDescent="0.2">
      <c r="A37" s="189" t="s">
        <v>157</v>
      </c>
      <c r="B37" s="190"/>
      <c r="C37" s="190"/>
      <c r="D37" s="191"/>
      <c r="E37" s="93">
        <f>E34/8760</f>
        <v>0</v>
      </c>
      <c r="F37" s="8">
        <f>F34/8760</f>
        <v>0</v>
      </c>
      <c r="G37" s="99" t="s">
        <v>11</v>
      </c>
      <c r="H37" s="98"/>
      <c r="I37" s="98"/>
      <c r="J37" s="98"/>
      <c r="K37" s="98"/>
      <c r="L37" s="98"/>
      <c r="M37" s="98"/>
      <c r="N37" s="96"/>
    </row>
    <row r="38" spans="1:14" ht="14.25" x14ac:dyDescent="0.2">
      <c r="A38" s="4"/>
      <c r="B38" s="5"/>
      <c r="C38" s="5"/>
      <c r="D38" s="3"/>
      <c r="E38" s="94">
        <f>E37+F37</f>
        <v>0</v>
      </c>
      <c r="F38" s="15" t="s">
        <v>11</v>
      </c>
      <c r="G38" s="3"/>
      <c r="H38" s="98"/>
      <c r="I38" s="97"/>
      <c r="J38" s="98"/>
      <c r="K38" s="97"/>
      <c r="L38" s="98"/>
      <c r="M38" s="97"/>
      <c r="N38" s="96"/>
    </row>
    <row r="39" spans="1:14" x14ac:dyDescent="0.2">
      <c r="H39" s="96"/>
      <c r="I39" s="96"/>
      <c r="J39" s="96"/>
      <c r="K39" s="96"/>
      <c r="L39" s="96"/>
      <c r="M39" s="96"/>
      <c r="N39" s="96"/>
    </row>
  </sheetData>
  <sheetProtection algorithmName="SHA-512" hashValue="CN/hA8N0jZg9KpWfpT0ekL4yvgCHVY9JJOBROAwN636wNx6ZyOQJ8KIwGvz++Ji5FYE/C9pDvcRccskB7LGvVg==" saltValue="nsVUVwHk6/QpfcYYcGOp0w==" spinCount="100000" sheet="1" objects="1" scenarios="1" selectLockedCells="1"/>
  <protectedRanges>
    <protectedRange password="CDC0" sqref="E4:G4" name="Beobachtungsjahr"/>
  </protectedRanges>
  <customSheetViews>
    <customSheetView guid="{E1EFECED-200B-4694-B1B1-39596CE047E7}" showPageBreaks="1" showGridLines="0" fitToPage="1" printArea="1" view="pageLayout">
      <selection activeCell="E4" sqref="E4:G4"/>
      <pageMargins left="0.74803149606299213" right="0.70866141732283472" top="1.299212598425197" bottom="0.86614173228346458" header="0.23622047244094491" footer="0.51181102362204722"/>
      <pageSetup paperSize="9" fitToHeight="0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22">
    <mergeCell ref="A37:D37"/>
    <mergeCell ref="A12:D12"/>
    <mergeCell ref="A4:D4"/>
    <mergeCell ref="A6:D6"/>
    <mergeCell ref="E12:G12"/>
    <mergeCell ref="A27:D27"/>
    <mergeCell ref="A28:D28"/>
    <mergeCell ref="A29:D29"/>
    <mergeCell ref="A30:D30"/>
    <mergeCell ref="A31:D31"/>
    <mergeCell ref="A32:D32"/>
    <mergeCell ref="A34:D34"/>
    <mergeCell ref="A1:G1"/>
    <mergeCell ref="E21:G21"/>
    <mergeCell ref="E4:G4"/>
    <mergeCell ref="E6:G6"/>
    <mergeCell ref="E14:G14"/>
    <mergeCell ref="E19:G19"/>
    <mergeCell ref="A8:E8"/>
    <mergeCell ref="A14:D14"/>
    <mergeCell ref="A10:D10"/>
    <mergeCell ref="E10:G10"/>
  </mergeCells>
  <phoneticPr fontId="0" type="noConversion"/>
  <pageMargins left="0.74803149606299213" right="0.70866141732283472" top="1.299212598425197" bottom="0.6692913385826772" header="0.23622047244094491" footer="0.51181102362204722"/>
  <pageSetup paperSize="9" fitToHeight="0" orientation="portrait" r:id="rId2"/>
  <headerFooter alignWithMargins="0">
    <oddHeader>&amp;L&amp;G&amp;R&amp;G</oddHeader>
    <oddFooter>&amp;L&amp;"Arial,Standard"V8d - Adopté par l'EP, 20 mars 2018&amp;R&amp;"Arial,Standard"Page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2:U121"/>
  <sheetViews>
    <sheetView showGridLines="0" zoomScale="115" zoomScaleNormal="115" zoomScaleSheetLayoutView="90" zoomScalePageLayoutView="70" workbookViewId="0">
      <selection activeCell="D7" sqref="D7:E7"/>
    </sheetView>
  </sheetViews>
  <sheetFormatPr baseColWidth="10" defaultColWidth="11.42578125" defaultRowHeight="13.5" x14ac:dyDescent="0.25"/>
  <cols>
    <col min="1" max="1" width="7.7109375" style="18" customWidth="1"/>
    <col min="2" max="2" width="13.5703125" style="18" customWidth="1"/>
    <col min="3" max="3" width="11.42578125" style="18" customWidth="1"/>
    <col min="4" max="4" width="19.28515625" style="18" customWidth="1"/>
    <col min="5" max="5" width="11.140625" style="18" customWidth="1"/>
    <col min="6" max="7" width="12.5703125" style="18" customWidth="1"/>
    <col min="8" max="8" width="34.42578125" style="117" customWidth="1"/>
    <col min="9" max="9" width="16.85546875" style="117" customWidth="1"/>
    <col min="10" max="10" width="11.140625" style="117" customWidth="1"/>
    <col min="11" max="11" width="21.42578125" style="117" customWidth="1"/>
    <col min="12" max="12" width="10.7109375" style="117" customWidth="1"/>
    <col min="13" max="13" width="16.28515625" style="117" customWidth="1"/>
    <col min="14" max="14" width="11.42578125" style="132"/>
    <col min="15" max="15" width="18.85546875" style="132" customWidth="1"/>
    <col min="16" max="16" width="19.7109375" style="132" customWidth="1"/>
    <col min="17" max="17" width="15" style="18" customWidth="1"/>
    <col min="18" max="18" width="15" style="19" customWidth="1"/>
    <col min="19" max="21" width="11.42578125" style="19"/>
    <col min="22" max="16384" width="11.42578125" style="18"/>
  </cols>
  <sheetData>
    <row r="2" spans="1:16" ht="18" x14ac:dyDescent="0.25">
      <c r="A2" s="60" t="s">
        <v>34</v>
      </c>
      <c r="B2" s="60" t="s">
        <v>160</v>
      </c>
      <c r="C2" s="23"/>
      <c r="D2" s="23"/>
      <c r="E2" s="23"/>
      <c r="F2" s="23"/>
      <c r="G2" s="23"/>
      <c r="H2" s="163" t="s">
        <v>130</v>
      </c>
    </row>
    <row r="3" spans="1:16" ht="14.25" x14ac:dyDescent="0.25">
      <c r="A3" s="27"/>
      <c r="B3" s="23"/>
      <c r="C3" s="23"/>
      <c r="D3" s="23"/>
      <c r="E3" s="23"/>
      <c r="F3" s="23"/>
      <c r="G3" s="23"/>
      <c r="I3" s="142"/>
      <c r="J3" s="142"/>
      <c r="K3" s="142"/>
      <c r="L3" s="142"/>
      <c r="M3" s="142"/>
      <c r="N3" s="142"/>
      <c r="O3" s="142"/>
    </row>
    <row r="4" spans="1:16" ht="37.5" customHeight="1" x14ac:dyDescent="0.25">
      <c r="A4" s="17" t="s">
        <v>161</v>
      </c>
      <c r="B4" s="17" t="s">
        <v>162</v>
      </c>
      <c r="C4" s="17" t="s">
        <v>163</v>
      </c>
      <c r="D4" s="198" t="s">
        <v>164</v>
      </c>
      <c r="E4" s="199"/>
      <c r="F4" s="95" t="s">
        <v>167</v>
      </c>
      <c r="G4" s="95" t="s">
        <v>166</v>
      </c>
      <c r="H4" s="143" t="s">
        <v>158</v>
      </c>
      <c r="I4" s="144" t="s">
        <v>23</v>
      </c>
      <c r="J4" s="145" t="s">
        <v>99</v>
      </c>
      <c r="K4" s="142"/>
      <c r="L4" s="142"/>
      <c r="M4" s="142"/>
      <c r="N4" s="142"/>
      <c r="O4" s="142"/>
      <c r="P4" s="169"/>
    </row>
    <row r="5" spans="1:16" ht="22.5" customHeight="1" x14ac:dyDescent="0.25">
      <c r="A5" s="112"/>
      <c r="B5" s="115"/>
      <c r="C5" s="113"/>
      <c r="D5" s="196"/>
      <c r="E5" s="197"/>
      <c r="F5" s="114"/>
      <c r="G5" s="113"/>
      <c r="H5" s="146" t="s">
        <v>216</v>
      </c>
      <c r="I5" s="147" t="str">
        <f t="shared" ref="I5:I25" si="0">IF(G5&gt;0,G5/F5,"")</f>
        <v/>
      </c>
      <c r="J5" s="148" t="s">
        <v>100</v>
      </c>
      <c r="K5" s="149" t="s">
        <v>101</v>
      </c>
      <c r="M5" s="149"/>
      <c r="N5" s="149"/>
      <c r="O5" s="149"/>
      <c r="P5" s="170"/>
    </row>
    <row r="6" spans="1:16" ht="22.5" customHeight="1" x14ac:dyDescent="0.25">
      <c r="A6" s="112"/>
      <c r="B6" s="115"/>
      <c r="C6" s="113"/>
      <c r="D6" s="196"/>
      <c r="E6" s="197"/>
      <c r="F6" s="114"/>
      <c r="G6" s="113"/>
      <c r="H6" s="146" t="s">
        <v>217</v>
      </c>
      <c r="I6" s="147" t="str">
        <f t="shared" si="0"/>
        <v/>
      </c>
      <c r="J6" s="148"/>
      <c r="K6" s="149" t="s">
        <v>102</v>
      </c>
      <c r="M6" s="149"/>
      <c r="N6" s="149"/>
      <c r="O6" s="149"/>
      <c r="P6" s="170"/>
    </row>
    <row r="7" spans="1:16" ht="22.5" customHeight="1" x14ac:dyDescent="0.25">
      <c r="A7" s="112"/>
      <c r="B7" s="115"/>
      <c r="C7" s="113"/>
      <c r="D7" s="196"/>
      <c r="E7" s="197"/>
      <c r="F7" s="114"/>
      <c r="G7" s="113"/>
      <c r="H7" s="146"/>
      <c r="I7" s="147" t="str">
        <f t="shared" si="0"/>
        <v/>
      </c>
      <c r="J7" s="148" t="s">
        <v>103</v>
      </c>
      <c r="K7" s="149" t="s">
        <v>104</v>
      </c>
      <c r="M7" s="149"/>
      <c r="N7" s="149"/>
      <c r="O7" s="149"/>
      <c r="P7" s="170"/>
    </row>
    <row r="8" spans="1:16" ht="22.5" customHeight="1" x14ac:dyDescent="0.25">
      <c r="A8" s="112"/>
      <c r="B8" s="115"/>
      <c r="C8" s="113"/>
      <c r="D8" s="196"/>
      <c r="E8" s="197"/>
      <c r="F8" s="114"/>
      <c r="G8" s="113"/>
      <c r="H8" s="146"/>
      <c r="I8" s="147" t="str">
        <f t="shared" si="0"/>
        <v/>
      </c>
      <c r="J8" s="148"/>
      <c r="K8" s="149" t="s">
        <v>105</v>
      </c>
      <c r="M8" s="149"/>
      <c r="N8" s="149"/>
      <c r="O8" s="149"/>
      <c r="P8" s="170"/>
    </row>
    <row r="9" spans="1:16" ht="22.5" customHeight="1" x14ac:dyDescent="0.25">
      <c r="A9" s="112"/>
      <c r="B9" s="115"/>
      <c r="C9" s="113"/>
      <c r="D9" s="196"/>
      <c r="E9" s="197"/>
      <c r="F9" s="114"/>
      <c r="G9" s="113"/>
      <c r="H9" s="143" t="s">
        <v>212</v>
      </c>
      <c r="I9" s="147" t="str">
        <f t="shared" si="0"/>
        <v/>
      </c>
      <c r="J9" s="150" t="s">
        <v>126</v>
      </c>
      <c r="K9" s="142" t="s">
        <v>127</v>
      </c>
      <c r="M9" s="149"/>
      <c r="N9" s="149"/>
      <c r="O9" s="149"/>
      <c r="P9" s="170"/>
    </row>
    <row r="10" spans="1:16" ht="22.5" customHeight="1" x14ac:dyDescent="0.25">
      <c r="A10" s="112"/>
      <c r="B10" s="115"/>
      <c r="C10" s="113"/>
      <c r="D10" s="196"/>
      <c r="E10" s="197"/>
      <c r="F10" s="114"/>
      <c r="G10" s="113"/>
      <c r="H10" s="146" t="s">
        <v>241</v>
      </c>
      <c r="I10" s="147" t="str">
        <f t="shared" si="0"/>
        <v/>
      </c>
      <c r="J10" s="148" t="s">
        <v>128</v>
      </c>
      <c r="K10" s="142" t="s">
        <v>129</v>
      </c>
      <c r="M10" s="149"/>
      <c r="N10" s="149"/>
      <c r="O10" s="149"/>
      <c r="P10" s="170"/>
    </row>
    <row r="11" spans="1:16" ht="22.5" customHeight="1" x14ac:dyDescent="0.25">
      <c r="A11" s="112"/>
      <c r="B11" s="115"/>
      <c r="C11" s="113"/>
      <c r="D11" s="196"/>
      <c r="E11" s="197"/>
      <c r="F11" s="114"/>
      <c r="G11" s="113"/>
      <c r="H11" s="146" t="s">
        <v>242</v>
      </c>
      <c r="I11" s="147" t="str">
        <f t="shared" si="0"/>
        <v/>
      </c>
      <c r="J11" s="148" t="s">
        <v>131</v>
      </c>
      <c r="K11" s="117" t="s">
        <v>136</v>
      </c>
      <c r="N11" s="117"/>
      <c r="O11" s="117"/>
      <c r="P11" s="169"/>
    </row>
    <row r="12" spans="1:16" ht="22.5" customHeight="1" x14ac:dyDescent="0.25">
      <c r="A12" s="112"/>
      <c r="B12" s="115"/>
      <c r="C12" s="113"/>
      <c r="D12" s="196"/>
      <c r="E12" s="197"/>
      <c r="F12" s="114"/>
      <c r="G12" s="113"/>
      <c r="H12" s="146" t="s">
        <v>243</v>
      </c>
      <c r="I12" s="147" t="str">
        <f t="shared" si="0"/>
        <v/>
      </c>
      <c r="J12" s="148" t="s">
        <v>135</v>
      </c>
      <c r="K12" s="149" t="s">
        <v>139</v>
      </c>
      <c r="M12" s="149"/>
      <c r="N12" s="149"/>
      <c r="O12" s="149"/>
      <c r="P12" s="170"/>
    </row>
    <row r="13" spans="1:16" ht="22.5" customHeight="1" x14ac:dyDescent="0.25">
      <c r="A13" s="112"/>
      <c r="B13" s="115"/>
      <c r="C13" s="113"/>
      <c r="D13" s="196"/>
      <c r="E13" s="197"/>
      <c r="F13" s="114"/>
      <c r="G13" s="113"/>
      <c r="I13" s="151" t="str">
        <f t="shared" si="0"/>
        <v/>
      </c>
      <c r="K13" s="152" t="s">
        <v>132</v>
      </c>
      <c r="L13" s="149"/>
      <c r="M13" s="149"/>
      <c r="N13" s="149"/>
      <c r="O13" s="149"/>
      <c r="P13" s="170"/>
    </row>
    <row r="14" spans="1:16" ht="22.5" customHeight="1" x14ac:dyDescent="0.25">
      <c r="A14" s="112"/>
      <c r="B14" s="115"/>
      <c r="C14" s="113"/>
      <c r="D14" s="196"/>
      <c r="E14" s="197"/>
      <c r="F14" s="114"/>
      <c r="G14" s="113"/>
      <c r="I14" s="151" t="str">
        <f t="shared" si="0"/>
        <v/>
      </c>
      <c r="J14" s="148" t="s">
        <v>252</v>
      </c>
      <c r="K14" s="149" t="s">
        <v>253</v>
      </c>
      <c r="N14" s="117"/>
      <c r="O14" s="117"/>
      <c r="P14" s="169"/>
    </row>
    <row r="15" spans="1:16" ht="22.5" customHeight="1" x14ac:dyDescent="0.25">
      <c r="A15" s="112"/>
      <c r="B15" s="115"/>
      <c r="C15" s="113"/>
      <c r="D15" s="196"/>
      <c r="E15" s="197"/>
      <c r="F15" s="114"/>
      <c r="G15" s="113"/>
      <c r="H15" s="153" t="s">
        <v>219</v>
      </c>
      <c r="I15" s="151" t="str">
        <f t="shared" si="0"/>
        <v/>
      </c>
      <c r="K15" s="117" t="s">
        <v>254</v>
      </c>
      <c r="N15" s="117"/>
      <c r="O15" s="117"/>
      <c r="P15" s="169"/>
    </row>
    <row r="16" spans="1:16" ht="22.5" customHeight="1" x14ac:dyDescent="0.25">
      <c r="A16" s="112"/>
      <c r="B16" s="115"/>
      <c r="C16" s="113"/>
      <c r="D16" s="196"/>
      <c r="E16" s="197"/>
      <c r="F16" s="114"/>
      <c r="G16" s="113"/>
      <c r="H16" s="117" t="s">
        <v>13</v>
      </c>
      <c r="I16" s="151" t="str">
        <f t="shared" si="0"/>
        <v/>
      </c>
      <c r="K16" s="171" t="s">
        <v>255</v>
      </c>
      <c r="N16" s="117"/>
      <c r="O16" s="117"/>
      <c r="P16" s="169"/>
    </row>
    <row r="17" spans="1:19" ht="22.5" customHeight="1" x14ac:dyDescent="0.25">
      <c r="A17" s="112"/>
      <c r="B17" s="115"/>
      <c r="C17" s="113"/>
      <c r="D17" s="196"/>
      <c r="E17" s="197"/>
      <c r="F17" s="114"/>
      <c r="G17" s="113"/>
      <c r="H17" s="117" t="s">
        <v>14</v>
      </c>
      <c r="I17" s="151" t="str">
        <f t="shared" si="0"/>
        <v/>
      </c>
      <c r="N17" s="117"/>
      <c r="O17" s="117"/>
      <c r="P17" s="169"/>
    </row>
    <row r="18" spans="1:19" ht="22.5" customHeight="1" x14ac:dyDescent="0.25">
      <c r="A18" s="112"/>
      <c r="B18" s="115"/>
      <c r="C18" s="113"/>
      <c r="D18" s="196"/>
      <c r="E18" s="197"/>
      <c r="F18" s="114"/>
      <c r="G18" s="113"/>
      <c r="H18" s="117" t="s">
        <v>15</v>
      </c>
      <c r="I18" s="151" t="str">
        <f t="shared" si="0"/>
        <v/>
      </c>
    </row>
    <row r="19" spans="1:19" ht="22.5" customHeight="1" x14ac:dyDescent="0.25">
      <c r="A19" s="112"/>
      <c r="B19" s="115"/>
      <c r="C19" s="113"/>
      <c r="D19" s="196"/>
      <c r="E19" s="197"/>
      <c r="F19" s="114"/>
      <c r="G19" s="113"/>
      <c r="H19" s="117" t="s">
        <v>16</v>
      </c>
      <c r="I19" s="151" t="str">
        <f t="shared" si="0"/>
        <v/>
      </c>
    </row>
    <row r="20" spans="1:19" ht="22.5" customHeight="1" x14ac:dyDescent="0.25">
      <c r="A20" s="112"/>
      <c r="B20" s="115"/>
      <c r="C20" s="113"/>
      <c r="D20" s="196"/>
      <c r="E20" s="197"/>
      <c r="F20" s="114"/>
      <c r="G20" s="113"/>
      <c r="H20" s="117" t="s">
        <v>220</v>
      </c>
      <c r="I20" s="151" t="str">
        <f t="shared" si="0"/>
        <v/>
      </c>
    </row>
    <row r="21" spans="1:19" ht="22.5" customHeight="1" x14ac:dyDescent="0.25">
      <c r="A21" s="112"/>
      <c r="B21" s="115"/>
      <c r="C21" s="113"/>
      <c r="D21" s="196"/>
      <c r="E21" s="197"/>
      <c r="F21" s="114"/>
      <c r="G21" s="113"/>
      <c r="I21" s="151" t="str">
        <f t="shared" si="0"/>
        <v/>
      </c>
      <c r="Q21" s="79"/>
      <c r="R21" s="117"/>
      <c r="S21" s="117"/>
    </row>
    <row r="22" spans="1:19" ht="22.5" customHeight="1" x14ac:dyDescent="0.25">
      <c r="A22" s="112"/>
      <c r="B22" s="115"/>
      <c r="C22" s="113"/>
      <c r="D22" s="196"/>
      <c r="E22" s="197"/>
      <c r="F22" s="114"/>
      <c r="G22" s="113"/>
      <c r="I22" s="151" t="str">
        <f t="shared" si="0"/>
        <v/>
      </c>
      <c r="Q22" s="79"/>
      <c r="R22" s="117"/>
      <c r="S22" s="117"/>
    </row>
    <row r="23" spans="1:19" ht="22.5" customHeight="1" x14ac:dyDescent="0.25">
      <c r="A23" s="112"/>
      <c r="B23" s="115"/>
      <c r="C23" s="113"/>
      <c r="D23" s="196"/>
      <c r="E23" s="197"/>
      <c r="F23" s="114"/>
      <c r="G23" s="113"/>
      <c r="I23" s="151" t="str">
        <f t="shared" si="0"/>
        <v/>
      </c>
      <c r="Q23" s="79"/>
      <c r="R23" s="117"/>
      <c r="S23" s="117"/>
    </row>
    <row r="24" spans="1:19" ht="22.5" customHeight="1" x14ac:dyDescent="0.25">
      <c r="A24" s="112"/>
      <c r="B24" s="115"/>
      <c r="C24" s="113"/>
      <c r="D24" s="196"/>
      <c r="E24" s="197"/>
      <c r="F24" s="114"/>
      <c r="G24" s="113"/>
      <c r="I24" s="151" t="str">
        <f t="shared" si="0"/>
        <v/>
      </c>
      <c r="Q24" s="79"/>
      <c r="R24" s="117"/>
      <c r="S24" s="117"/>
    </row>
    <row r="25" spans="1:19" ht="22.5" customHeight="1" x14ac:dyDescent="0.25">
      <c r="A25" s="112"/>
      <c r="B25" s="115"/>
      <c r="C25" s="113"/>
      <c r="D25" s="196"/>
      <c r="E25" s="197"/>
      <c r="F25" s="114"/>
      <c r="G25" s="113"/>
      <c r="I25" s="151" t="str">
        <f t="shared" si="0"/>
        <v/>
      </c>
      <c r="Q25" s="79"/>
      <c r="R25" s="117"/>
      <c r="S25" s="117"/>
    </row>
    <row r="26" spans="1:19" ht="22.5" customHeight="1" x14ac:dyDescent="0.25">
      <c r="A26" s="112"/>
      <c r="B26" s="115"/>
      <c r="C26" s="113"/>
      <c r="D26" s="196"/>
      <c r="E26" s="197"/>
      <c r="F26" s="114"/>
      <c r="G26" s="113"/>
      <c r="H26" s="117" t="s">
        <v>36</v>
      </c>
      <c r="Q26" s="79"/>
      <c r="R26" s="117"/>
      <c r="S26" s="117"/>
    </row>
    <row r="27" spans="1:19" ht="14.25" customHeight="1" x14ac:dyDescent="0.25">
      <c r="A27" s="83"/>
      <c r="B27" s="84"/>
      <c r="C27" s="85" t="s">
        <v>0</v>
      </c>
      <c r="D27" s="86"/>
      <c r="E27" s="84"/>
      <c r="F27" s="87" t="s">
        <v>0</v>
      </c>
      <c r="G27" s="85" t="s">
        <v>0</v>
      </c>
      <c r="H27" s="154" t="s">
        <v>2</v>
      </c>
      <c r="I27" s="154" t="s">
        <v>72</v>
      </c>
      <c r="J27" s="154" t="s">
        <v>73</v>
      </c>
      <c r="K27" s="153" t="s">
        <v>80</v>
      </c>
    </row>
    <row r="28" spans="1:19" ht="14.25" customHeight="1" x14ac:dyDescent="0.25">
      <c r="A28" s="127"/>
      <c r="B28" s="128"/>
      <c r="C28" s="129"/>
      <c r="D28" s="130"/>
      <c r="E28" s="128"/>
      <c r="F28" s="131"/>
      <c r="G28" s="129"/>
      <c r="H28" s="154"/>
      <c r="I28" s="154"/>
      <c r="J28" s="154"/>
      <c r="K28" s="153"/>
    </row>
    <row r="29" spans="1:19" ht="14.25" customHeight="1" x14ac:dyDescent="0.25">
      <c r="A29" s="230" t="s">
        <v>169</v>
      </c>
      <c r="B29" s="230"/>
      <c r="C29" s="230"/>
      <c r="D29" s="230"/>
      <c r="E29" s="230"/>
      <c r="F29" s="230"/>
      <c r="G29" s="129"/>
      <c r="H29" s="154"/>
      <c r="I29" s="154"/>
      <c r="J29" s="154"/>
      <c r="K29" s="153"/>
    </row>
    <row r="30" spans="1:19" ht="14.25" x14ac:dyDescent="0.25">
      <c r="A30" s="27"/>
      <c r="B30" s="23"/>
      <c r="C30" s="23"/>
      <c r="D30" s="23"/>
      <c r="E30" s="23"/>
      <c r="F30" s="23"/>
      <c r="G30" s="23"/>
      <c r="H30" s="117" t="s">
        <v>37</v>
      </c>
      <c r="I30" s="117">
        <v>0.98</v>
      </c>
      <c r="K30" s="117" t="s">
        <v>81</v>
      </c>
    </row>
    <row r="31" spans="1:19" ht="30.75" customHeight="1" x14ac:dyDescent="0.25">
      <c r="A31" s="215" t="s">
        <v>168</v>
      </c>
      <c r="B31" s="216"/>
      <c r="C31" s="216"/>
      <c r="D31" s="216"/>
      <c r="E31" s="216"/>
      <c r="F31" s="216"/>
      <c r="G31" s="216"/>
      <c r="H31" s="117" t="s">
        <v>38</v>
      </c>
      <c r="I31" s="117">
        <v>0</v>
      </c>
    </row>
    <row r="32" spans="1:19" ht="15" customHeight="1" x14ac:dyDescent="0.25">
      <c r="A32" s="66" t="s">
        <v>170</v>
      </c>
      <c r="B32" s="67"/>
      <c r="C32" s="21" t="s">
        <v>171</v>
      </c>
      <c r="D32" s="21"/>
      <c r="E32" s="68" t="s">
        <v>18</v>
      </c>
      <c r="F32" s="220"/>
      <c r="G32" s="221"/>
      <c r="H32" s="117" t="s">
        <v>39</v>
      </c>
      <c r="I32" s="117">
        <v>1</v>
      </c>
      <c r="K32" s="117" t="s">
        <v>74</v>
      </c>
    </row>
    <row r="33" spans="1:18" ht="15" customHeight="1" x14ac:dyDescent="0.25">
      <c r="A33" s="69"/>
      <c r="B33" s="70"/>
      <c r="C33" s="21" t="s">
        <v>172</v>
      </c>
      <c r="D33" s="21"/>
      <c r="E33" s="68" t="s">
        <v>12</v>
      </c>
      <c r="F33" s="200"/>
      <c r="G33" s="201"/>
      <c r="H33" s="117" t="s">
        <v>40</v>
      </c>
      <c r="I33" s="117">
        <v>1</v>
      </c>
      <c r="K33" s="117" t="s">
        <v>79</v>
      </c>
    </row>
    <row r="34" spans="1:18" ht="15" customHeight="1" x14ac:dyDescent="0.25">
      <c r="A34" s="71"/>
      <c r="B34" s="72"/>
      <c r="C34" s="21" t="s">
        <v>173</v>
      </c>
      <c r="D34" s="21"/>
      <c r="E34" s="68" t="s">
        <v>12</v>
      </c>
      <c r="F34" s="200"/>
      <c r="G34" s="201"/>
      <c r="H34" s="117" t="s">
        <v>41</v>
      </c>
      <c r="I34" s="117">
        <v>1</v>
      </c>
      <c r="K34" s="117" t="s">
        <v>79</v>
      </c>
    </row>
    <row r="35" spans="1:18" ht="15" customHeight="1" x14ac:dyDescent="0.2">
      <c r="A35" s="66" t="s">
        <v>1</v>
      </c>
      <c r="B35" s="73"/>
      <c r="C35" s="33" t="s">
        <v>174</v>
      </c>
      <c r="D35" s="21"/>
      <c r="E35" s="14"/>
      <c r="F35" s="224"/>
      <c r="G35" s="225"/>
      <c r="H35" s="117" t="s">
        <v>93</v>
      </c>
      <c r="I35" s="155">
        <v>1.07</v>
      </c>
      <c r="J35" s="117" t="s">
        <v>49</v>
      </c>
      <c r="K35" s="117" t="s">
        <v>82</v>
      </c>
    </row>
    <row r="36" spans="1:18" ht="15" customHeight="1" x14ac:dyDescent="0.2">
      <c r="A36" s="69"/>
      <c r="B36" s="70"/>
      <c r="C36" s="33" t="s">
        <v>175</v>
      </c>
      <c r="D36" s="21"/>
      <c r="E36" s="68" t="s">
        <v>19</v>
      </c>
      <c r="F36" s="226"/>
      <c r="G36" s="227"/>
      <c r="H36" s="117" t="s">
        <v>98</v>
      </c>
      <c r="I36" s="155">
        <f>IF(D49&lt;49,1,(D49-49)*0.5+1)</f>
        <v>1</v>
      </c>
      <c r="K36" s="156"/>
      <c r="Q36" s="79"/>
    </row>
    <row r="37" spans="1:18" ht="15" customHeight="1" x14ac:dyDescent="0.2">
      <c r="A37" s="69"/>
      <c r="B37" s="70"/>
      <c r="C37" s="33" t="s">
        <v>176</v>
      </c>
      <c r="D37" s="21"/>
      <c r="E37" s="68" t="s">
        <v>20</v>
      </c>
      <c r="F37" s="228"/>
      <c r="G37" s="229"/>
      <c r="H37" s="117" t="s">
        <v>94</v>
      </c>
      <c r="I37" s="155">
        <v>1.22</v>
      </c>
      <c r="J37" s="117" t="s">
        <v>49</v>
      </c>
      <c r="K37" s="117" t="s">
        <v>82</v>
      </c>
      <c r="Q37" s="79"/>
      <c r="R37" s="117"/>
    </row>
    <row r="38" spans="1:18" ht="15" customHeight="1" x14ac:dyDescent="0.25">
      <c r="A38" s="71"/>
      <c r="B38" s="72"/>
      <c r="C38" s="33" t="s">
        <v>177</v>
      </c>
      <c r="D38" s="21"/>
      <c r="E38" s="68" t="s">
        <v>21</v>
      </c>
      <c r="F38" s="200"/>
      <c r="G38" s="201"/>
      <c r="H38" s="117" t="s">
        <v>42</v>
      </c>
      <c r="I38" s="155">
        <v>0.68</v>
      </c>
      <c r="J38" s="117" t="s">
        <v>49</v>
      </c>
      <c r="K38" s="117" t="s">
        <v>82</v>
      </c>
      <c r="M38" s="153"/>
      <c r="Q38" s="79"/>
      <c r="R38" s="117"/>
    </row>
    <row r="39" spans="1:18" ht="15" customHeight="1" x14ac:dyDescent="0.25">
      <c r="A39" s="66" t="s">
        <v>178</v>
      </c>
      <c r="B39" s="73"/>
      <c r="C39" s="33" t="s">
        <v>179</v>
      </c>
      <c r="D39" s="21"/>
      <c r="E39" s="68" t="s">
        <v>12</v>
      </c>
      <c r="F39" s="200"/>
      <c r="G39" s="201"/>
      <c r="H39" s="117" t="s">
        <v>59</v>
      </c>
      <c r="I39" s="156">
        <f>((365-I41)*((I35+I37)/2)+I41*I38)/365</f>
        <v>0.87491780821917819</v>
      </c>
      <c r="J39" s="117" t="s">
        <v>49</v>
      </c>
      <c r="O39" s="134"/>
      <c r="Q39" s="79"/>
      <c r="R39" s="117"/>
    </row>
    <row r="40" spans="1:18" ht="15" customHeight="1" x14ac:dyDescent="0.25">
      <c r="A40" s="71"/>
      <c r="B40" s="72"/>
      <c r="C40" s="33" t="s">
        <v>180</v>
      </c>
      <c r="D40" s="21"/>
      <c r="E40" s="68" t="s">
        <v>12</v>
      </c>
      <c r="F40" s="200"/>
      <c r="G40" s="201"/>
      <c r="H40" s="117" t="s">
        <v>43</v>
      </c>
      <c r="I40" s="117">
        <f>365-I41-D49</f>
        <v>153</v>
      </c>
      <c r="J40" s="117" t="s">
        <v>48</v>
      </c>
      <c r="K40" s="117" t="s">
        <v>83</v>
      </c>
      <c r="Q40" s="79"/>
      <c r="R40" s="117"/>
    </row>
    <row r="41" spans="1:18" ht="15" customHeight="1" x14ac:dyDescent="0.25">
      <c r="A41" s="209" t="s">
        <v>181</v>
      </c>
      <c r="B41" s="210"/>
      <c r="C41" s="33" t="s">
        <v>182</v>
      </c>
      <c r="D41" s="21"/>
      <c r="E41" s="68" t="s">
        <v>12</v>
      </c>
      <c r="F41" s="202"/>
      <c r="G41" s="203"/>
      <c r="H41" s="117" t="s">
        <v>44</v>
      </c>
      <c r="I41" s="117">
        <v>212</v>
      </c>
      <c r="J41" s="117" t="s">
        <v>48</v>
      </c>
      <c r="K41" s="117" t="s">
        <v>83</v>
      </c>
    </row>
    <row r="42" spans="1:18" ht="15" customHeight="1" x14ac:dyDescent="0.25">
      <c r="A42" s="66" t="s">
        <v>183</v>
      </c>
      <c r="B42" s="73"/>
      <c r="C42" s="33" t="s">
        <v>184</v>
      </c>
      <c r="D42" s="21"/>
      <c r="E42" s="68" t="s">
        <v>22</v>
      </c>
      <c r="F42" s="222">
        <f>SUM(G5:G26)</f>
        <v>0</v>
      </c>
      <c r="G42" s="223"/>
      <c r="H42" s="117" t="s">
        <v>55</v>
      </c>
      <c r="I42" s="157">
        <f>I43+I44+I45</f>
        <v>0</v>
      </c>
      <c r="K42" s="117" t="s">
        <v>84</v>
      </c>
      <c r="Q42" s="122"/>
    </row>
    <row r="43" spans="1:18" ht="15" customHeight="1" x14ac:dyDescent="0.25">
      <c r="A43" s="71"/>
      <c r="B43" s="72"/>
      <c r="C43" s="33" t="s">
        <v>185</v>
      </c>
      <c r="D43" s="21"/>
      <c r="E43" s="68" t="s">
        <v>22</v>
      </c>
      <c r="F43" s="220">
        <f>F42</f>
        <v>0</v>
      </c>
      <c r="G43" s="221"/>
      <c r="H43" s="117" t="s">
        <v>95</v>
      </c>
      <c r="I43" s="158">
        <f>+I33*I55*I46/I47*(I54/I48-I54/I49)*(I35*F50+I37*F51)*I40</f>
        <v>0</v>
      </c>
      <c r="K43" s="117" t="s">
        <v>86</v>
      </c>
      <c r="Q43" s="121"/>
    </row>
    <row r="44" spans="1:18" ht="15" customHeight="1" x14ac:dyDescent="0.25">
      <c r="A44" s="27"/>
      <c r="B44" s="23"/>
      <c r="C44" s="23"/>
      <c r="D44" s="23"/>
      <c r="E44" s="23"/>
      <c r="F44" s="23"/>
      <c r="G44" s="23"/>
      <c r="H44" s="117" t="s">
        <v>96</v>
      </c>
      <c r="I44" s="158">
        <f>I33*I55*I46/I47*(I54/I50-I54/I51)*I36*(I35*F50+I37*F51)*D49</f>
        <v>0</v>
      </c>
      <c r="K44" s="117" t="s">
        <v>92</v>
      </c>
    </row>
    <row r="45" spans="1:18" ht="15" customHeight="1" x14ac:dyDescent="0.25">
      <c r="A45" s="27"/>
      <c r="B45" s="23"/>
      <c r="C45" s="23"/>
      <c r="D45" s="22"/>
      <c r="E45" s="22"/>
      <c r="F45" s="22"/>
      <c r="G45" s="22"/>
      <c r="H45" s="117" t="s">
        <v>97</v>
      </c>
      <c r="I45" s="157">
        <f>I34*I55*I46/I47*(I54/I52-I54/I53)*I38*(F50+F51)*I41</f>
        <v>0</v>
      </c>
      <c r="K45" s="117" t="s">
        <v>87</v>
      </c>
    </row>
    <row r="46" spans="1:18" ht="15" customHeight="1" x14ac:dyDescent="0.25">
      <c r="A46" s="60" t="s">
        <v>33</v>
      </c>
      <c r="B46" s="60" t="s">
        <v>186</v>
      </c>
      <c r="C46" s="23"/>
      <c r="D46" s="22"/>
      <c r="E46" s="22"/>
      <c r="F46" s="22"/>
      <c r="G46" s="22"/>
      <c r="H46" s="117" t="s">
        <v>45</v>
      </c>
      <c r="I46" s="117">
        <v>273.14999999999998</v>
      </c>
      <c r="J46" s="117" t="s">
        <v>46</v>
      </c>
      <c r="K46" s="117" t="s">
        <v>78</v>
      </c>
    </row>
    <row r="47" spans="1:18" ht="15" customHeight="1" x14ac:dyDescent="0.25">
      <c r="A47" s="60"/>
      <c r="B47" s="60"/>
      <c r="C47" s="23"/>
      <c r="D47" s="22"/>
      <c r="E47" s="22"/>
      <c r="F47" s="22"/>
      <c r="G47" s="22"/>
      <c r="H47" s="117" t="s">
        <v>61</v>
      </c>
      <c r="I47" s="117">
        <v>1013.25</v>
      </c>
      <c r="J47" s="117" t="s">
        <v>47</v>
      </c>
      <c r="K47" s="117" t="s">
        <v>78</v>
      </c>
    </row>
    <row r="48" spans="1:18" ht="15" x14ac:dyDescent="0.25">
      <c r="A48" s="217" t="s">
        <v>248</v>
      </c>
      <c r="B48" s="218"/>
      <c r="C48" s="218"/>
      <c r="D48" s="218"/>
      <c r="E48" s="218"/>
      <c r="F48" s="218"/>
      <c r="G48" s="218"/>
      <c r="H48" s="117" t="s">
        <v>51</v>
      </c>
      <c r="I48" s="117">
        <f>L48+I46</f>
        <v>286.5</v>
      </c>
      <c r="J48" s="117" t="s">
        <v>46</v>
      </c>
      <c r="K48" s="117" t="s">
        <v>79</v>
      </c>
      <c r="L48" s="117">
        <v>13.35</v>
      </c>
      <c r="M48" s="117" t="s">
        <v>62</v>
      </c>
    </row>
    <row r="49" spans="1:16" ht="15" customHeight="1" x14ac:dyDescent="0.25">
      <c r="A49" s="22" t="s">
        <v>187</v>
      </c>
      <c r="B49" s="22"/>
      <c r="C49" s="22"/>
      <c r="D49" s="126"/>
      <c r="E49" s="172" t="s">
        <v>256</v>
      </c>
      <c r="F49" s="22"/>
      <c r="G49" s="125"/>
      <c r="H49" s="117" t="s">
        <v>52</v>
      </c>
      <c r="I49" s="117">
        <f>L49+I46</f>
        <v>303.5</v>
      </c>
      <c r="J49" s="117" t="s">
        <v>46</v>
      </c>
      <c r="K49" s="117" t="s">
        <v>79</v>
      </c>
      <c r="L49" s="117">
        <v>30.35</v>
      </c>
      <c r="M49" s="117" t="s">
        <v>62</v>
      </c>
    </row>
    <row r="50" spans="1:16" ht="15" customHeight="1" x14ac:dyDescent="0.25">
      <c r="A50" s="20" t="s">
        <v>244</v>
      </c>
      <c r="B50" s="21"/>
      <c r="C50" s="21"/>
      <c r="D50" s="21"/>
      <c r="E50" s="14"/>
      <c r="F50" s="13">
        <f>SUMIFS($C$5:$C$26,$D$5:$D$26,$H$11,$B$5:$B$26,$H$5)</f>
        <v>0</v>
      </c>
      <c r="G50" s="14" t="s">
        <v>3</v>
      </c>
      <c r="H50" s="117" t="s">
        <v>89</v>
      </c>
      <c r="I50" s="117">
        <f>L50+I46</f>
        <v>293.14999999999998</v>
      </c>
      <c r="J50" s="117" t="s">
        <v>46</v>
      </c>
      <c r="K50" s="117" t="s">
        <v>91</v>
      </c>
      <c r="L50" s="117">
        <v>20</v>
      </c>
      <c r="M50" s="117" t="s">
        <v>62</v>
      </c>
    </row>
    <row r="51" spans="1:16" ht="15" customHeight="1" x14ac:dyDescent="0.25">
      <c r="A51" s="20" t="s">
        <v>247</v>
      </c>
      <c r="B51" s="21"/>
      <c r="C51" s="21"/>
      <c r="D51" s="21"/>
      <c r="E51" s="14"/>
      <c r="F51" s="13">
        <f>SUMIFS($C$5:$C$26,$D$5:$D$26,$H$11,$B$5:$B$26,$H$6)</f>
        <v>0</v>
      </c>
      <c r="G51" s="14" t="s">
        <v>3</v>
      </c>
      <c r="H51" s="117" t="s">
        <v>90</v>
      </c>
      <c r="I51" s="117">
        <f>L51+I46</f>
        <v>313.14999999999998</v>
      </c>
      <c r="J51" s="117" t="s">
        <v>46</v>
      </c>
      <c r="K51" s="117" t="s">
        <v>91</v>
      </c>
      <c r="L51" s="117">
        <v>40</v>
      </c>
      <c r="M51" s="117" t="s">
        <v>62</v>
      </c>
    </row>
    <row r="52" spans="1:16" ht="15" customHeight="1" x14ac:dyDescent="0.25">
      <c r="A52" s="20" t="s">
        <v>188</v>
      </c>
      <c r="B52" s="21"/>
      <c r="C52" s="21"/>
      <c r="D52" s="21"/>
      <c r="E52" s="14"/>
      <c r="F52" s="13">
        <f>SUMIF($D$5:$D$26,$H$11,$G$5:$G$26)</f>
        <v>0</v>
      </c>
      <c r="G52" s="14" t="s">
        <v>4</v>
      </c>
      <c r="H52" s="117" t="s">
        <v>50</v>
      </c>
      <c r="I52" s="117">
        <f>L52+I46</f>
        <v>278</v>
      </c>
      <c r="J52" s="117" t="s">
        <v>46</v>
      </c>
      <c r="K52" s="117" t="s">
        <v>79</v>
      </c>
      <c r="L52" s="117">
        <v>4.8499999999999996</v>
      </c>
      <c r="M52" s="117" t="s">
        <v>62</v>
      </c>
    </row>
    <row r="53" spans="1:16" ht="15" customHeight="1" x14ac:dyDescent="0.25">
      <c r="A53" s="20" t="s">
        <v>189</v>
      </c>
      <c r="B53" s="21"/>
      <c r="C53" s="21"/>
      <c r="D53" s="21"/>
      <c r="E53" s="14"/>
      <c r="F53" s="13">
        <f>(1-I30)*((1-I31)*I32*I42+I57*F52)</f>
        <v>0</v>
      </c>
      <c r="G53" s="14" t="s">
        <v>5</v>
      </c>
      <c r="H53" s="117" t="s">
        <v>53</v>
      </c>
      <c r="I53" s="117">
        <f>L53+I46</f>
        <v>286</v>
      </c>
      <c r="J53" s="117" t="s">
        <v>46</v>
      </c>
      <c r="K53" s="117" t="s">
        <v>79</v>
      </c>
      <c r="L53" s="117">
        <v>12.85</v>
      </c>
      <c r="M53" s="117" t="s">
        <v>62</v>
      </c>
    </row>
    <row r="54" spans="1:16" ht="15" customHeight="1" x14ac:dyDescent="0.25">
      <c r="A54" s="22"/>
      <c r="B54" s="23"/>
      <c r="C54" s="23"/>
      <c r="D54" s="22"/>
      <c r="E54" s="22"/>
      <c r="F54" s="22"/>
      <c r="G54" s="22"/>
      <c r="H54" s="117" t="s">
        <v>54</v>
      </c>
      <c r="I54" s="117">
        <v>980</v>
      </c>
      <c r="J54" s="117" t="s">
        <v>47</v>
      </c>
      <c r="K54" s="117" t="s">
        <v>88</v>
      </c>
      <c r="P54" s="135"/>
    </row>
    <row r="55" spans="1:16" ht="15" customHeight="1" x14ac:dyDescent="0.25">
      <c r="A55" s="46" t="s">
        <v>190</v>
      </c>
      <c r="B55" s="45"/>
      <c r="C55" s="45"/>
      <c r="D55" s="46"/>
      <c r="E55" s="22"/>
      <c r="F55" s="22"/>
      <c r="G55" s="22"/>
      <c r="H55" s="117" t="s">
        <v>57</v>
      </c>
      <c r="I55" s="159">
        <v>0.1</v>
      </c>
      <c r="J55" s="117" t="s">
        <v>56</v>
      </c>
      <c r="K55" s="117" t="s">
        <v>79</v>
      </c>
    </row>
    <row r="56" spans="1:16" ht="15" customHeight="1" x14ac:dyDescent="0.25">
      <c r="A56" s="20" t="s">
        <v>191</v>
      </c>
      <c r="B56" s="24"/>
      <c r="C56" s="24"/>
      <c r="D56" s="21"/>
      <c r="E56" s="14"/>
      <c r="F56" s="25">
        <f>COUNTIFS($D$5:$D$26,$H$12,$B$5:$B$26,$H$5)</f>
        <v>0</v>
      </c>
      <c r="G56" s="22"/>
      <c r="H56" s="117" t="s">
        <v>58</v>
      </c>
      <c r="I56" s="117">
        <v>0.85</v>
      </c>
      <c r="K56" s="117" t="s">
        <v>85</v>
      </c>
    </row>
    <row r="57" spans="1:16" ht="15" customHeight="1" x14ac:dyDescent="0.25">
      <c r="A57" s="20" t="s">
        <v>245</v>
      </c>
      <c r="B57" s="24"/>
      <c r="C57" s="21"/>
      <c r="D57" s="21"/>
      <c r="E57" s="14"/>
      <c r="F57" s="13">
        <f>I67*I59*I64*SUMIFS(F$5:F$26,$D$5:$D$26,$H$12,$B$5:$B$26,H5)+F56*I66*I59*I64+I71*SUMIFS(I$5:I$26,$D$5:$D$26,$H$12,$B$5:$B$26,$H$5)</f>
        <v>0</v>
      </c>
      <c r="G57" s="26" t="s">
        <v>5</v>
      </c>
      <c r="H57" s="117" t="s">
        <v>60</v>
      </c>
      <c r="I57" s="156">
        <f>I56*I39</f>
        <v>0.74368013698630142</v>
      </c>
      <c r="K57" s="117" t="s">
        <v>85</v>
      </c>
    </row>
    <row r="58" spans="1:16" ht="15" customHeight="1" x14ac:dyDescent="0.25">
      <c r="A58" s="20" t="s">
        <v>192</v>
      </c>
      <c r="B58" s="24"/>
      <c r="C58" s="24"/>
      <c r="D58" s="21"/>
      <c r="E58" s="14"/>
      <c r="F58" s="25">
        <f>COUNTIFS($D$5:$D$26,$H$12,$B$5:$B$26,$H$6)</f>
        <v>0</v>
      </c>
      <c r="G58" s="22"/>
      <c r="H58" s="153" t="s">
        <v>106</v>
      </c>
    </row>
    <row r="59" spans="1:16" ht="15" customHeight="1" x14ac:dyDescent="0.25">
      <c r="A59" s="20" t="s">
        <v>246</v>
      </c>
      <c r="B59" s="24"/>
      <c r="C59" s="21"/>
      <c r="D59" s="21"/>
      <c r="E59" s="14"/>
      <c r="F59" s="13">
        <f>I67*I59*I65*SUMIFS(F$5:F$26,$D$5:$D$26,$H$12,$B$5:$B$26,$H$6)+F58*I66*I59*I65+I71*SUMIFS(I$5:I$26,$D$5:$D$26,$H$12,$B$5:$B$26,$H$6)</f>
        <v>0</v>
      </c>
      <c r="G59" s="26" t="s">
        <v>5</v>
      </c>
      <c r="H59" s="117" t="s">
        <v>107</v>
      </c>
      <c r="I59" s="117">
        <v>64</v>
      </c>
      <c r="J59" s="117" t="s">
        <v>108</v>
      </c>
      <c r="K59" s="117" t="s">
        <v>109</v>
      </c>
    </row>
    <row r="60" spans="1:16" ht="15" customHeight="1" x14ac:dyDescent="0.25">
      <c r="A60" s="27"/>
      <c r="B60" s="23"/>
      <c r="C60" s="23"/>
      <c r="D60" s="22"/>
      <c r="E60" s="22"/>
      <c r="F60" s="22"/>
      <c r="G60" s="22"/>
      <c r="H60" s="117" t="s">
        <v>133</v>
      </c>
      <c r="I60" s="117">
        <v>380</v>
      </c>
      <c r="J60" s="117" t="s">
        <v>47</v>
      </c>
      <c r="K60" s="117" t="s">
        <v>110</v>
      </c>
    </row>
    <row r="61" spans="1:16" ht="15" customHeight="1" x14ac:dyDescent="0.25">
      <c r="A61" s="28" t="s">
        <v>193</v>
      </c>
      <c r="B61" s="29"/>
      <c r="C61" s="21"/>
      <c r="D61" s="21"/>
      <c r="E61" s="14"/>
      <c r="F61" s="30">
        <f>F53+F57+F59</f>
        <v>0</v>
      </c>
      <c r="G61" s="31" t="s">
        <v>5</v>
      </c>
      <c r="H61" s="117" t="s">
        <v>134</v>
      </c>
      <c r="I61" s="117">
        <v>450</v>
      </c>
      <c r="J61" s="117" t="s">
        <v>47</v>
      </c>
      <c r="K61" s="117" t="s">
        <v>110</v>
      </c>
    </row>
    <row r="62" spans="1:16" ht="15" customHeight="1" x14ac:dyDescent="0.25">
      <c r="A62" s="27"/>
      <c r="B62" s="23"/>
      <c r="C62" s="23"/>
      <c r="D62" s="22"/>
      <c r="E62" s="22"/>
      <c r="F62" s="22"/>
      <c r="G62" s="22"/>
      <c r="H62" s="117" t="s">
        <v>111</v>
      </c>
      <c r="I62" s="117">
        <v>1</v>
      </c>
      <c r="K62" s="117" t="s">
        <v>112</v>
      </c>
    </row>
    <row r="63" spans="1:16" ht="15" customHeight="1" x14ac:dyDescent="0.25">
      <c r="A63" s="27"/>
      <c r="B63" s="23"/>
      <c r="C63" s="23"/>
      <c r="D63" s="22"/>
      <c r="E63" s="22"/>
      <c r="F63" s="22"/>
      <c r="G63" s="22"/>
      <c r="H63" s="117" t="s">
        <v>113</v>
      </c>
      <c r="I63" s="117">
        <v>0</v>
      </c>
      <c r="K63" s="117" t="s">
        <v>114</v>
      </c>
    </row>
    <row r="64" spans="1:16" ht="15" customHeight="1" x14ac:dyDescent="0.25">
      <c r="A64" s="60" t="s">
        <v>32</v>
      </c>
      <c r="B64" s="60" t="s">
        <v>194</v>
      </c>
      <c r="C64" s="23"/>
      <c r="D64" s="22"/>
      <c r="E64" s="22"/>
      <c r="F64" s="22"/>
      <c r="G64" s="22"/>
      <c r="H64" s="117" t="s">
        <v>137</v>
      </c>
      <c r="I64" s="160">
        <f>(I60/I47)/(1+SQRT(1-I60/I47))^2</f>
        <v>0.11697528783053567</v>
      </c>
      <c r="K64" s="117" t="s">
        <v>115</v>
      </c>
    </row>
    <row r="65" spans="1:21" ht="15" customHeight="1" x14ac:dyDescent="0.25">
      <c r="A65" s="27"/>
      <c r="B65" s="23"/>
      <c r="C65" s="23"/>
      <c r="D65" s="22"/>
      <c r="E65" s="22"/>
      <c r="F65" s="22"/>
      <c r="G65" s="22"/>
      <c r="H65" s="117" t="s">
        <v>138</v>
      </c>
      <c r="I65" s="160">
        <f>(I61/I47)/(1+SQRT(1-I61/I47))^2</f>
        <v>0.14575318619694003</v>
      </c>
      <c r="K65" s="117" t="s">
        <v>115</v>
      </c>
    </row>
    <row r="66" spans="1:21" ht="15" customHeight="1" x14ac:dyDescent="0.25">
      <c r="A66" s="32" t="s">
        <v>195</v>
      </c>
      <c r="B66" s="23"/>
      <c r="C66" s="23"/>
      <c r="D66" s="22"/>
      <c r="E66" s="22"/>
      <c r="F66" s="22"/>
      <c r="G66" s="22"/>
      <c r="H66" s="117" t="s">
        <v>116</v>
      </c>
      <c r="I66" s="117">
        <v>41.2</v>
      </c>
      <c r="J66" s="117" t="s">
        <v>117</v>
      </c>
      <c r="K66" s="117" t="s">
        <v>118</v>
      </c>
    </row>
    <row r="67" spans="1:21" ht="15" customHeight="1" x14ac:dyDescent="0.25">
      <c r="A67" s="33" t="s">
        <v>196</v>
      </c>
      <c r="B67" s="34"/>
      <c r="C67" s="21"/>
      <c r="D67" s="21"/>
      <c r="E67" s="14"/>
      <c r="F67" s="35"/>
      <c r="G67" s="36" t="s">
        <v>6</v>
      </c>
      <c r="H67" s="117" t="s">
        <v>119</v>
      </c>
      <c r="I67" s="117">
        <v>3.9</v>
      </c>
      <c r="J67" s="117" t="s">
        <v>120</v>
      </c>
      <c r="K67" s="117" t="s">
        <v>121</v>
      </c>
    </row>
    <row r="68" spans="1:21" ht="15" customHeight="1" x14ac:dyDescent="0.25">
      <c r="A68" s="33" t="s">
        <v>197</v>
      </c>
      <c r="B68" s="34"/>
      <c r="C68" s="21"/>
      <c r="D68" s="37"/>
      <c r="E68" s="14" t="s">
        <v>17</v>
      </c>
      <c r="F68" s="35"/>
      <c r="G68" s="36" t="s">
        <v>7</v>
      </c>
      <c r="H68" s="117" t="s">
        <v>62</v>
      </c>
      <c r="I68" s="161">
        <f>2.57*10^-6</f>
        <v>2.5699999999999995E-6</v>
      </c>
      <c r="J68" s="117" t="s">
        <v>63</v>
      </c>
      <c r="K68" s="117" t="s">
        <v>122</v>
      </c>
    </row>
    <row r="69" spans="1:21" ht="15" customHeight="1" x14ac:dyDescent="0.25">
      <c r="A69" s="38"/>
      <c r="B69" s="39"/>
      <c r="C69" s="40"/>
      <c r="D69" s="22"/>
      <c r="E69" s="22"/>
      <c r="F69" s="22"/>
      <c r="G69" s="22"/>
      <c r="H69" s="117" t="s">
        <v>123</v>
      </c>
      <c r="I69" s="117">
        <v>740</v>
      </c>
      <c r="J69" s="117" t="s">
        <v>49</v>
      </c>
    </row>
    <row r="70" spans="1:21" ht="15" customHeight="1" x14ac:dyDescent="0.25">
      <c r="A70" s="33" t="s">
        <v>198</v>
      </c>
      <c r="B70" s="34"/>
      <c r="C70" s="21"/>
      <c r="D70" s="21"/>
      <c r="E70" s="14"/>
      <c r="F70" s="41">
        <f>F36*2/3*IF(F68&gt;0,F68,F37)</f>
        <v>0</v>
      </c>
      <c r="G70" s="36" t="s">
        <v>8</v>
      </c>
      <c r="H70" s="117" t="s">
        <v>124</v>
      </c>
      <c r="I70" s="117">
        <v>4</v>
      </c>
      <c r="K70" s="117" t="s">
        <v>122</v>
      </c>
    </row>
    <row r="71" spans="1:21" ht="15" customHeight="1" x14ac:dyDescent="0.25">
      <c r="A71" s="28" t="s">
        <v>199</v>
      </c>
      <c r="B71" s="42"/>
      <c r="C71" s="21"/>
      <c r="D71" s="21"/>
      <c r="E71" s="14"/>
      <c r="F71" s="41">
        <f>F70*F67/1000</f>
        <v>0</v>
      </c>
      <c r="G71" s="43" t="s">
        <v>5</v>
      </c>
      <c r="H71" s="117" t="s">
        <v>125</v>
      </c>
      <c r="I71" s="161">
        <f>I68*I69*I70</f>
        <v>7.6071999999999989E-3</v>
      </c>
      <c r="K71" s="117" t="s">
        <v>122</v>
      </c>
    </row>
    <row r="72" spans="1:21" ht="15" customHeight="1" x14ac:dyDescent="0.25">
      <c r="A72" s="27"/>
      <c r="B72" s="23"/>
      <c r="C72" s="23"/>
      <c r="D72" s="22"/>
      <c r="E72" s="22"/>
      <c r="F72" s="22"/>
      <c r="G72" s="22"/>
    </row>
    <row r="73" spans="1:21" ht="15" customHeight="1" x14ac:dyDescent="0.25">
      <c r="A73" s="27"/>
      <c r="B73" s="23"/>
      <c r="C73" s="23"/>
      <c r="D73" s="22"/>
      <c r="E73" s="22"/>
      <c r="F73" s="22"/>
      <c r="G73" s="22"/>
    </row>
    <row r="74" spans="1:21" ht="15" customHeight="1" x14ac:dyDescent="0.25">
      <c r="A74" s="60" t="s">
        <v>31</v>
      </c>
      <c r="B74" s="60" t="s">
        <v>181</v>
      </c>
      <c r="C74" s="23"/>
      <c r="D74" s="22"/>
      <c r="E74" s="22"/>
      <c r="F74" s="22"/>
      <c r="G74" s="22"/>
      <c r="H74" s="142"/>
      <c r="I74" s="142"/>
    </row>
    <row r="75" spans="1:21" ht="15" customHeight="1" x14ac:dyDescent="0.25">
      <c r="A75" s="27"/>
      <c r="B75" s="23"/>
      <c r="C75" s="23"/>
      <c r="D75" s="22"/>
      <c r="E75" s="22"/>
      <c r="F75" s="22"/>
      <c r="G75" s="22"/>
      <c r="H75" s="142"/>
      <c r="I75" s="142"/>
    </row>
    <row r="76" spans="1:21" ht="15" customHeight="1" x14ac:dyDescent="0.25">
      <c r="A76" s="215" t="s">
        <v>200</v>
      </c>
      <c r="B76" s="219"/>
      <c r="C76" s="219"/>
      <c r="D76" s="219"/>
      <c r="E76" s="219"/>
      <c r="F76" s="219"/>
      <c r="G76" s="219"/>
      <c r="H76" s="142"/>
      <c r="I76" s="142"/>
    </row>
    <row r="77" spans="1:21" s="47" customFormat="1" ht="15" customHeight="1" x14ac:dyDescent="0.25">
      <c r="A77" s="44" t="s">
        <v>201</v>
      </c>
      <c r="B77" s="45"/>
      <c r="C77" s="46" t="s">
        <v>202</v>
      </c>
      <c r="D77" s="46"/>
      <c r="E77" s="46"/>
      <c r="F77" s="46" t="s">
        <v>203</v>
      </c>
      <c r="G77" s="46"/>
      <c r="H77" s="142"/>
      <c r="I77" s="142"/>
      <c r="J77" s="117"/>
      <c r="K77" s="117"/>
      <c r="L77" s="153"/>
      <c r="M77" s="153"/>
      <c r="N77" s="133"/>
      <c r="O77" s="133"/>
      <c r="P77" s="133"/>
      <c r="R77" s="116"/>
      <c r="S77" s="116"/>
      <c r="T77" s="116"/>
      <c r="U77" s="116"/>
    </row>
    <row r="78" spans="1:21" s="47" customFormat="1" ht="15" customHeight="1" x14ac:dyDescent="0.25">
      <c r="A78" s="204"/>
      <c r="B78" s="205"/>
      <c r="C78" s="206"/>
      <c r="D78" s="207"/>
      <c r="E78" s="208"/>
      <c r="F78" s="48">
        <f>C78*(1-I80/I81)</f>
        <v>0</v>
      </c>
      <c r="G78" s="36" t="s">
        <v>9</v>
      </c>
      <c r="H78" s="142"/>
      <c r="I78" s="142"/>
      <c r="J78" s="117"/>
      <c r="K78" s="117"/>
      <c r="L78" s="153"/>
      <c r="M78" s="153"/>
      <c r="N78" s="132"/>
      <c r="O78" s="132"/>
      <c r="P78" s="133"/>
      <c r="R78" s="116"/>
      <c r="S78" s="116"/>
      <c r="T78" s="116"/>
      <c r="U78" s="116"/>
    </row>
    <row r="79" spans="1:21" ht="15" customHeight="1" x14ac:dyDescent="0.25">
      <c r="A79" s="204"/>
      <c r="B79" s="205"/>
      <c r="C79" s="206"/>
      <c r="D79" s="207"/>
      <c r="E79" s="208"/>
      <c r="F79" s="48">
        <f t="shared" ref="F79:F82" si="1">C79*(1-1.013/1.014)</f>
        <v>0</v>
      </c>
      <c r="G79" s="36" t="s">
        <v>9</v>
      </c>
      <c r="H79" s="162"/>
      <c r="I79" s="162"/>
      <c r="J79" s="153"/>
      <c r="K79" s="153"/>
      <c r="O79" s="133"/>
    </row>
    <row r="80" spans="1:21" ht="15" customHeight="1" x14ac:dyDescent="0.25">
      <c r="A80" s="204"/>
      <c r="B80" s="205"/>
      <c r="C80" s="206"/>
      <c r="D80" s="207"/>
      <c r="E80" s="208"/>
      <c r="F80" s="48">
        <f t="shared" si="1"/>
        <v>0</v>
      </c>
      <c r="G80" s="36" t="s">
        <v>9</v>
      </c>
      <c r="H80" s="117" t="s">
        <v>64</v>
      </c>
      <c r="I80" s="160">
        <v>1.0129999999999999</v>
      </c>
      <c r="J80" s="117" t="s">
        <v>65</v>
      </c>
      <c r="N80" s="133"/>
    </row>
    <row r="81" spans="1:11" ht="15" customHeight="1" x14ac:dyDescent="0.25">
      <c r="A81" s="231" t="s">
        <v>0</v>
      </c>
      <c r="B81" s="205"/>
      <c r="C81" s="206"/>
      <c r="D81" s="207"/>
      <c r="E81" s="208"/>
      <c r="F81" s="48">
        <f t="shared" si="1"/>
        <v>0</v>
      </c>
      <c r="G81" s="36" t="s">
        <v>9</v>
      </c>
      <c r="H81" s="117" t="s">
        <v>66</v>
      </c>
      <c r="I81" s="160">
        <v>1.014</v>
      </c>
      <c r="J81" s="117" t="s">
        <v>65</v>
      </c>
    </row>
    <row r="82" spans="1:11" ht="15" customHeight="1" x14ac:dyDescent="0.25">
      <c r="A82" s="231" t="s">
        <v>0</v>
      </c>
      <c r="B82" s="205"/>
      <c r="C82" s="206"/>
      <c r="D82" s="207"/>
      <c r="E82" s="208"/>
      <c r="F82" s="48">
        <f t="shared" si="1"/>
        <v>0</v>
      </c>
      <c r="G82" s="36" t="s">
        <v>9</v>
      </c>
      <c r="H82" s="153"/>
      <c r="I82" s="153"/>
      <c r="J82" s="153"/>
      <c r="K82" s="153"/>
    </row>
    <row r="83" spans="1:11" ht="15" customHeight="1" x14ac:dyDescent="0.25">
      <c r="A83" s="38"/>
      <c r="B83" s="39"/>
      <c r="C83" s="40"/>
      <c r="D83" s="22"/>
      <c r="E83" s="22"/>
      <c r="F83" s="49"/>
      <c r="G83" s="22"/>
    </row>
    <row r="84" spans="1:11" ht="15" customHeight="1" x14ac:dyDescent="0.25">
      <c r="A84" s="50" t="s">
        <v>204</v>
      </c>
      <c r="B84" s="42"/>
      <c r="C84" s="21"/>
      <c r="D84" s="21"/>
      <c r="E84" s="51"/>
      <c r="F84" s="52">
        <f>SUM(F78:F83)</f>
        <v>0</v>
      </c>
      <c r="G84" s="43" t="s">
        <v>5</v>
      </c>
    </row>
    <row r="85" spans="1:11" ht="15" customHeight="1" x14ac:dyDescent="0.25">
      <c r="A85" s="27"/>
      <c r="B85" s="23"/>
      <c r="C85" s="23"/>
      <c r="D85" s="22"/>
      <c r="E85" s="22"/>
      <c r="F85" s="22"/>
      <c r="G85" s="22"/>
    </row>
    <row r="86" spans="1:11" ht="15" customHeight="1" x14ac:dyDescent="0.25">
      <c r="A86" s="23"/>
      <c r="B86" s="23"/>
      <c r="C86" s="23"/>
      <c r="D86" s="22"/>
      <c r="E86" s="22"/>
      <c r="F86" s="22"/>
      <c r="G86" s="22"/>
    </row>
    <row r="87" spans="1:11" ht="15" customHeight="1" x14ac:dyDescent="0.25">
      <c r="A87" s="60" t="s">
        <v>30</v>
      </c>
      <c r="B87" s="60" t="s">
        <v>205</v>
      </c>
      <c r="C87" s="23"/>
      <c r="D87" s="22"/>
      <c r="E87" s="22"/>
      <c r="F87" s="22"/>
      <c r="G87" s="22"/>
    </row>
    <row r="88" spans="1:11" ht="15" customHeight="1" x14ac:dyDescent="0.25">
      <c r="A88" s="27"/>
      <c r="B88" s="23"/>
      <c r="C88" s="23"/>
      <c r="D88" s="22"/>
      <c r="E88" s="22"/>
      <c r="F88" s="22"/>
      <c r="G88" s="22"/>
    </row>
    <row r="89" spans="1:11" ht="15" customHeight="1" x14ac:dyDescent="0.25">
      <c r="A89" s="215" t="s">
        <v>206</v>
      </c>
      <c r="B89" s="219"/>
      <c r="C89" s="219"/>
      <c r="D89" s="219"/>
      <c r="E89" s="219"/>
      <c r="F89" s="219"/>
      <c r="G89" s="219"/>
    </row>
    <row r="90" spans="1:11" ht="15" customHeight="1" x14ac:dyDescent="0.25">
      <c r="A90" s="20" t="s">
        <v>207</v>
      </c>
      <c r="B90" s="34"/>
      <c r="C90" s="21"/>
      <c r="D90" s="21"/>
      <c r="E90" s="14"/>
      <c r="F90" s="35"/>
      <c r="G90" s="36" t="s">
        <v>10</v>
      </c>
    </row>
    <row r="91" spans="1:11" ht="15" customHeight="1" x14ac:dyDescent="0.25">
      <c r="A91" s="20" t="s">
        <v>208</v>
      </c>
      <c r="B91" s="34"/>
      <c r="C91" s="21"/>
      <c r="D91" s="21"/>
      <c r="E91" s="14"/>
      <c r="F91" s="35"/>
      <c r="G91" s="36" t="s">
        <v>10</v>
      </c>
    </row>
    <row r="92" spans="1:11" ht="15" customHeight="1" x14ac:dyDescent="0.25">
      <c r="A92" s="38"/>
      <c r="B92" s="39"/>
      <c r="C92" s="40"/>
      <c r="D92" s="22"/>
      <c r="E92" s="22"/>
      <c r="F92" s="22"/>
      <c r="G92" s="22"/>
    </row>
    <row r="93" spans="1:11" ht="15" customHeight="1" x14ac:dyDescent="0.25">
      <c r="A93" s="50" t="s">
        <v>209</v>
      </c>
      <c r="B93" s="42"/>
      <c r="C93" s="21"/>
      <c r="D93" s="21"/>
      <c r="E93" s="14"/>
      <c r="F93" s="81">
        <f>IF(F90&gt;0,IF(F91&gt;0,I98*F42/F90/1000+I98*F43/F91/1000,0),0)</f>
        <v>0</v>
      </c>
      <c r="G93" s="43" t="s">
        <v>5</v>
      </c>
    </row>
    <row r="94" spans="1:11" ht="15" customHeight="1" x14ac:dyDescent="0.25">
      <c r="A94" s="27"/>
      <c r="B94" s="23"/>
      <c r="C94" s="23"/>
      <c r="D94" s="22"/>
      <c r="E94" s="22"/>
      <c r="F94" s="22"/>
      <c r="G94" s="22"/>
    </row>
    <row r="95" spans="1:11" ht="15" customHeight="1" x14ac:dyDescent="0.25">
      <c r="A95" s="27"/>
      <c r="B95" s="23"/>
      <c r="C95" s="23"/>
      <c r="D95" s="22"/>
      <c r="E95" s="22"/>
      <c r="F95" s="22"/>
      <c r="G95" s="22"/>
      <c r="H95" s="117" t="s">
        <v>221</v>
      </c>
      <c r="I95" s="117">
        <v>2.2999999999999998</v>
      </c>
      <c r="J95" s="117" t="s">
        <v>8</v>
      </c>
      <c r="K95" s="117" t="s">
        <v>75</v>
      </c>
    </row>
    <row r="96" spans="1:11" ht="15" customHeight="1" x14ac:dyDescent="0.25">
      <c r="A96" s="60" t="s">
        <v>29</v>
      </c>
      <c r="B96" s="60" t="s">
        <v>210</v>
      </c>
      <c r="C96" s="23"/>
      <c r="D96" s="22"/>
      <c r="E96" s="22"/>
      <c r="F96" s="22"/>
      <c r="G96" s="22"/>
      <c r="H96" s="117" t="s">
        <v>222</v>
      </c>
      <c r="I96" s="117">
        <v>1</v>
      </c>
      <c r="J96" s="117" t="s">
        <v>8</v>
      </c>
      <c r="K96" s="117" t="s">
        <v>76</v>
      </c>
    </row>
    <row r="97" spans="1:21" ht="15" customHeight="1" x14ac:dyDescent="0.25">
      <c r="A97" s="27"/>
      <c r="B97" s="23"/>
      <c r="C97" s="23"/>
      <c r="D97" s="22"/>
      <c r="E97" s="22"/>
      <c r="F97" s="22"/>
      <c r="G97" s="22"/>
      <c r="H97" s="117" t="s">
        <v>223</v>
      </c>
      <c r="I97" s="117">
        <v>0.9</v>
      </c>
      <c r="J97" s="117" t="s">
        <v>8</v>
      </c>
      <c r="K97" s="117" t="s">
        <v>77</v>
      </c>
    </row>
    <row r="98" spans="1:21" ht="15" customHeight="1" x14ac:dyDescent="0.25">
      <c r="A98" s="215" t="s">
        <v>211</v>
      </c>
      <c r="B98" s="219"/>
      <c r="C98" s="219"/>
      <c r="D98" s="219"/>
      <c r="E98" s="219"/>
      <c r="F98" s="219"/>
      <c r="G98" s="219"/>
      <c r="H98" s="117" t="s">
        <v>67</v>
      </c>
      <c r="I98" s="117">
        <f>I97+I96+I95</f>
        <v>4.1999999999999993</v>
      </c>
      <c r="J98" s="117" t="s">
        <v>8</v>
      </c>
    </row>
    <row r="99" spans="1:21" ht="15" customHeight="1" x14ac:dyDescent="0.25">
      <c r="A99" s="53" t="s">
        <v>161</v>
      </c>
      <c r="B99" s="28" t="s">
        <v>212</v>
      </c>
      <c r="C99" s="54"/>
      <c r="D99" s="55" t="s">
        <v>213</v>
      </c>
      <c r="E99" s="55" t="s">
        <v>165</v>
      </c>
      <c r="F99" s="28" t="s">
        <v>203</v>
      </c>
      <c r="G99" s="31"/>
    </row>
    <row r="100" spans="1:21" s="47" customFormat="1" ht="15" customHeight="1" x14ac:dyDescent="0.25">
      <c r="A100" s="56"/>
      <c r="B100" s="211" t="str">
        <f>IF(A100&lt;&gt;"",VLOOKUP(A100,$A$5:$G$26,4,FALSE),"")</f>
        <v/>
      </c>
      <c r="C100" s="212"/>
      <c r="D100" s="57">
        <f>SUMIF($A$5:$A$26,A100,$C$5:$C$26)</f>
        <v>0</v>
      </c>
      <c r="E100" s="58">
        <f>SUMIF($A$5:$A$26,A100,$F$5:$F$26)</f>
        <v>0</v>
      </c>
      <c r="F100" s="52">
        <f t="shared" ref="F100:F105" si="2">IF(B100=$H$10,I$105*D100*I$104/1000,I$106*PI()*(E100/2)^2*I$104/1000)</f>
        <v>0</v>
      </c>
      <c r="G100" s="36" t="s">
        <v>9</v>
      </c>
      <c r="H100" s="117"/>
      <c r="I100" s="117"/>
      <c r="J100" s="117"/>
      <c r="K100" s="117"/>
      <c r="L100" s="153"/>
      <c r="M100" s="153"/>
      <c r="N100" s="132"/>
      <c r="O100" s="132"/>
      <c r="P100" s="133"/>
      <c r="R100" s="116"/>
      <c r="S100" s="116"/>
      <c r="T100" s="116"/>
      <c r="U100" s="116"/>
    </row>
    <row r="101" spans="1:21" ht="15" customHeight="1" x14ac:dyDescent="0.25">
      <c r="A101" s="56"/>
      <c r="B101" s="211" t="str">
        <f>IF(A101&lt;&gt;"",VLOOKUP(A101,$A$5:$G$26,4,FALSE),"")</f>
        <v/>
      </c>
      <c r="C101" s="212"/>
      <c r="D101" s="57">
        <f>SUMIF($A$5:$A$26,A101,$C$5:$C$26)</f>
        <v>0</v>
      </c>
      <c r="E101" s="58">
        <f>SUMIF($A$5:$A$26,A101,$F$5:$F$26)</f>
        <v>0</v>
      </c>
      <c r="F101" s="52">
        <f t="shared" si="2"/>
        <v>0</v>
      </c>
      <c r="G101" s="36" t="s">
        <v>9</v>
      </c>
      <c r="O101" s="133"/>
    </row>
    <row r="102" spans="1:21" ht="15" customHeight="1" x14ac:dyDescent="0.25">
      <c r="A102" s="56"/>
      <c r="B102" s="211" t="str">
        <f>IF(A102&lt;&gt;"",VLOOKUP(A102,$A$5:$G$26,4,FALSE),"")</f>
        <v/>
      </c>
      <c r="C102" s="212"/>
      <c r="D102" s="57">
        <f>SUMIF($A$5:$A$26,A102,$C$5:$C$26)</f>
        <v>0</v>
      </c>
      <c r="E102" s="58">
        <f>SUMIF($A$5:$A$26,A102,$F$5:$F$26)</f>
        <v>0</v>
      </c>
      <c r="F102" s="52">
        <f t="shared" si="2"/>
        <v>0</v>
      </c>
      <c r="G102" s="36" t="s">
        <v>9</v>
      </c>
      <c r="N102" s="133"/>
    </row>
    <row r="103" spans="1:21" ht="15" customHeight="1" x14ac:dyDescent="0.25">
      <c r="A103" s="56"/>
      <c r="B103" s="211" t="str">
        <f t="shared" ref="B103:B104" si="3">IF(A103&lt;&gt;"",VLOOKUP(A103,$A$5:$G$26,4,FALSE),"")</f>
        <v/>
      </c>
      <c r="C103" s="212"/>
      <c r="D103" s="57">
        <f t="shared" ref="D103:D104" si="4">SUMIF($A$5:$A$26,A103,$C$5:$C$26)</f>
        <v>0</v>
      </c>
      <c r="E103" s="58">
        <f t="shared" ref="E103:E104" si="5">SUMIF($A$5:$A$26,A103,$F$5:$F$26)</f>
        <v>0</v>
      </c>
      <c r="F103" s="52">
        <f t="shared" si="2"/>
        <v>0</v>
      </c>
      <c r="G103" s="36" t="s">
        <v>9</v>
      </c>
    </row>
    <row r="104" spans="1:21" ht="15" customHeight="1" x14ac:dyDescent="0.25">
      <c r="A104" s="56"/>
      <c r="B104" s="211" t="str">
        <f t="shared" si="3"/>
        <v/>
      </c>
      <c r="C104" s="212"/>
      <c r="D104" s="57">
        <f t="shared" si="4"/>
        <v>0</v>
      </c>
      <c r="E104" s="58">
        <f t="shared" si="5"/>
        <v>0</v>
      </c>
      <c r="F104" s="52">
        <f t="shared" si="2"/>
        <v>0</v>
      </c>
      <c r="G104" s="36" t="s">
        <v>9</v>
      </c>
      <c r="H104" s="117" t="s">
        <v>68</v>
      </c>
      <c r="I104" s="117">
        <v>15</v>
      </c>
      <c r="J104" s="117" t="s">
        <v>69</v>
      </c>
      <c r="K104" s="153"/>
    </row>
    <row r="105" spans="1:21" ht="15" customHeight="1" x14ac:dyDescent="0.25">
      <c r="A105" s="56"/>
      <c r="B105" s="211" t="str">
        <f>IF(A105&lt;&gt;"",VLOOKUP(A105,$A$5:$G$26,4,FALSE),"")</f>
        <v/>
      </c>
      <c r="C105" s="212"/>
      <c r="D105" s="57">
        <f>SUMIF($A$5:$A$26,A105,$C$5:$C$26)</f>
        <v>0</v>
      </c>
      <c r="E105" s="58">
        <f>SUMIF($A$5:$A$26,A105,$F$5:$F$26)</f>
        <v>0</v>
      </c>
      <c r="F105" s="52">
        <f t="shared" si="2"/>
        <v>0</v>
      </c>
      <c r="G105" s="36" t="s">
        <v>9</v>
      </c>
      <c r="H105" s="117" t="s">
        <v>70</v>
      </c>
      <c r="I105" s="159">
        <v>1.1000000000000001</v>
      </c>
    </row>
    <row r="106" spans="1:21" ht="15" customHeight="1" x14ac:dyDescent="0.25">
      <c r="A106" s="38"/>
      <c r="B106" s="39"/>
      <c r="C106" s="40"/>
      <c r="D106" s="22"/>
      <c r="E106" s="22"/>
      <c r="F106" s="22"/>
      <c r="G106" s="22"/>
      <c r="H106" s="117" t="s">
        <v>71</v>
      </c>
      <c r="I106" s="117">
        <v>1.8</v>
      </c>
      <c r="J106" s="117" t="s">
        <v>63</v>
      </c>
    </row>
    <row r="107" spans="1:21" ht="15" customHeight="1" x14ac:dyDescent="0.25">
      <c r="A107" s="28" t="s">
        <v>214</v>
      </c>
      <c r="B107" s="42"/>
      <c r="C107" s="21"/>
      <c r="D107" s="21"/>
      <c r="E107" s="14"/>
      <c r="F107" s="41">
        <f>SUM(F100:F105)</f>
        <v>0</v>
      </c>
      <c r="G107" s="43" t="s">
        <v>5</v>
      </c>
    </row>
    <row r="108" spans="1:21" ht="15" customHeight="1" x14ac:dyDescent="0.25">
      <c r="A108" s="27"/>
      <c r="B108" s="23"/>
      <c r="C108" s="23"/>
      <c r="D108" s="22"/>
      <c r="E108" s="22"/>
      <c r="F108" s="22"/>
      <c r="G108" s="22"/>
    </row>
    <row r="109" spans="1:21" ht="15" customHeight="1" x14ac:dyDescent="0.25">
      <c r="A109" s="27"/>
      <c r="B109" s="23"/>
      <c r="C109" s="23"/>
      <c r="D109" s="22"/>
      <c r="E109" s="22"/>
      <c r="F109" s="22"/>
      <c r="G109" s="22"/>
    </row>
    <row r="110" spans="1:21" ht="15" customHeight="1" x14ac:dyDescent="0.25">
      <c r="A110" s="60" t="s">
        <v>28</v>
      </c>
      <c r="B110" s="60" t="s">
        <v>250</v>
      </c>
      <c r="C110" s="23"/>
      <c r="D110" s="22"/>
      <c r="E110" s="22"/>
      <c r="F110" s="22"/>
      <c r="G110" s="22"/>
    </row>
    <row r="111" spans="1:21" ht="15" customHeight="1" x14ac:dyDescent="0.25">
      <c r="A111" s="27"/>
      <c r="B111" s="23"/>
      <c r="C111" s="23"/>
      <c r="D111" s="22"/>
      <c r="E111" s="22"/>
      <c r="F111" s="22"/>
      <c r="G111" s="22"/>
    </row>
    <row r="112" spans="1:21" ht="15" customHeight="1" x14ac:dyDescent="0.25">
      <c r="A112" s="32" t="s">
        <v>215</v>
      </c>
      <c r="B112" s="23"/>
      <c r="C112" s="23"/>
      <c r="D112" s="22"/>
      <c r="E112" s="22"/>
      <c r="F112" s="22"/>
      <c r="G112" s="22"/>
    </row>
    <row r="113" spans="1:7" ht="50.1" customHeight="1" x14ac:dyDescent="0.25">
      <c r="A113" s="206"/>
      <c r="B113" s="213"/>
      <c r="C113" s="213"/>
      <c r="D113" s="213"/>
      <c r="E113" s="214"/>
      <c r="F113" s="59"/>
      <c r="G113" s="36" t="s">
        <v>9</v>
      </c>
    </row>
    <row r="114" spans="1:7" ht="50.1" customHeight="1" x14ac:dyDescent="0.25">
      <c r="A114" s="206"/>
      <c r="B114" s="213"/>
      <c r="C114" s="213"/>
      <c r="D114" s="213"/>
      <c r="E114" s="214"/>
      <c r="F114" s="59"/>
      <c r="G114" s="36" t="s">
        <v>9</v>
      </c>
    </row>
    <row r="115" spans="1:7" ht="50.1" customHeight="1" x14ac:dyDescent="0.25">
      <c r="A115" s="206" t="s">
        <v>0</v>
      </c>
      <c r="B115" s="213"/>
      <c r="C115" s="213"/>
      <c r="D115" s="213"/>
      <c r="E115" s="214"/>
      <c r="F115" s="59"/>
      <c r="G115" s="36" t="s">
        <v>9</v>
      </c>
    </row>
    <row r="116" spans="1:7" ht="50.1" customHeight="1" x14ac:dyDescent="0.25">
      <c r="A116" s="232"/>
      <c r="B116" s="233"/>
      <c r="C116" s="233"/>
      <c r="D116" s="233"/>
      <c r="E116" s="234"/>
      <c r="F116" s="59"/>
      <c r="G116" s="36" t="s">
        <v>9</v>
      </c>
    </row>
    <row r="117" spans="1:7" ht="50.1" customHeight="1" x14ac:dyDescent="0.25">
      <c r="A117" s="232"/>
      <c r="B117" s="233"/>
      <c r="C117" s="233"/>
      <c r="D117" s="233"/>
      <c r="E117" s="234"/>
      <c r="F117" s="59"/>
      <c r="G117" s="36" t="s">
        <v>9</v>
      </c>
    </row>
    <row r="118" spans="1:7" ht="50.1" customHeight="1" x14ac:dyDescent="0.25">
      <c r="A118" s="206" t="s">
        <v>0</v>
      </c>
      <c r="B118" s="213"/>
      <c r="C118" s="213"/>
      <c r="D118" s="213"/>
      <c r="E118" s="214"/>
      <c r="F118" s="59"/>
      <c r="G118" s="36" t="s">
        <v>9</v>
      </c>
    </row>
    <row r="119" spans="1:7" ht="15.75" customHeight="1" x14ac:dyDescent="0.25"/>
    <row r="120" spans="1:7" ht="15.75" customHeight="1" x14ac:dyDescent="0.25">
      <c r="A120" s="50" t="s">
        <v>251</v>
      </c>
      <c r="B120" s="42"/>
      <c r="C120" s="21"/>
      <c r="D120" s="21"/>
      <c r="E120" s="14"/>
      <c r="F120" s="52">
        <f>SUM(F113:F118)</f>
        <v>0</v>
      </c>
      <c r="G120" s="43" t="s">
        <v>5</v>
      </c>
    </row>
    <row r="121" spans="1:7" ht="15.75" customHeight="1" x14ac:dyDescent="0.25"/>
  </sheetData>
  <sheetProtection algorithmName="SHA-512" hashValue="Qno09DkkNN6WeqD9asR5vGRmIkqzM1mDATZgwfScwlykyherPpp5CexWOqtYDcA8Ut/t9bcLHM+LvXurxf3XSQ==" saltValue="d9AjhFAZmKzCGgn7NrQSYg==" spinCount="100000" sheet="1" objects="1" scenarios="1" selectLockedCells="1"/>
  <protectedRanges>
    <protectedRange password="CDC0" sqref="C5:G26" name="Benzintanks"/>
  </protectedRanges>
  <customSheetViews>
    <customSheetView guid="{E1EFECED-200B-4694-B1B1-39596CE047E7}" showPageBreaks="1" showGridLines="0" printArea="1" view="pageLayout">
      <selection activeCell="C5" sqref="C5:G24"/>
      <rowBreaks count="3" manualBreakCount="3">
        <brk id="25" max="6" man="1"/>
        <brk id="67" max="6" man="1"/>
        <brk id="106" max="6" man="1"/>
      </rowBreaks>
      <pageMargins left="0.74803149606299213" right="0.70866141732283472" top="1.299212598425197" bottom="0.86614173228346458" header="0.23622047244094491" footer="0.51181102362204722"/>
      <pageSetup paperSize="9" scale="95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64">
    <mergeCell ref="A29:F29"/>
    <mergeCell ref="A114:E114"/>
    <mergeCell ref="A115:E115"/>
    <mergeCell ref="A118:E118"/>
    <mergeCell ref="A81:B81"/>
    <mergeCell ref="A82:B82"/>
    <mergeCell ref="C82:E82"/>
    <mergeCell ref="A89:G89"/>
    <mergeCell ref="B105:C105"/>
    <mergeCell ref="C81:E81"/>
    <mergeCell ref="A98:G98"/>
    <mergeCell ref="B100:C100"/>
    <mergeCell ref="B101:C101"/>
    <mergeCell ref="B102:C102"/>
    <mergeCell ref="A116:E116"/>
    <mergeCell ref="A117:E117"/>
    <mergeCell ref="B103:C103"/>
    <mergeCell ref="B104:C104"/>
    <mergeCell ref="A113:E113"/>
    <mergeCell ref="A31:G31"/>
    <mergeCell ref="A48:G48"/>
    <mergeCell ref="A76:G76"/>
    <mergeCell ref="F32:G32"/>
    <mergeCell ref="F33:G33"/>
    <mergeCell ref="F34:G34"/>
    <mergeCell ref="F43:G43"/>
    <mergeCell ref="F42:G42"/>
    <mergeCell ref="F35:G35"/>
    <mergeCell ref="F36:G36"/>
    <mergeCell ref="F37:G37"/>
    <mergeCell ref="F38:G38"/>
    <mergeCell ref="F39:G39"/>
    <mergeCell ref="F40:G40"/>
    <mergeCell ref="F41:G41"/>
    <mergeCell ref="A78:B78"/>
    <mergeCell ref="A79:B79"/>
    <mergeCell ref="A80:B80"/>
    <mergeCell ref="C78:E78"/>
    <mergeCell ref="C79:E79"/>
    <mergeCell ref="C80:E80"/>
    <mergeCell ref="A41:B4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6:E26"/>
    <mergeCell ref="D19:E19"/>
    <mergeCell ref="D20:E20"/>
    <mergeCell ref="D21:E21"/>
    <mergeCell ref="D22:E22"/>
    <mergeCell ref="D23:E23"/>
  </mergeCells>
  <phoneticPr fontId="0" type="noConversion"/>
  <dataValidations count="3">
    <dataValidation type="list" allowBlank="1" showErrorMessage="1" sqref="B5:B26" xr:uid="{00000000-0002-0000-0100-000000000000}">
      <formula1>$H$5:$H$6</formula1>
    </dataValidation>
    <dataValidation type="list" allowBlank="1" showInputMessage="1" showErrorMessage="1" sqref="D5:E26" xr:uid="{00000000-0002-0000-0100-000001000000}">
      <formula1>Tanktyp</formula1>
    </dataValidation>
    <dataValidation type="list" allowBlank="1" showInputMessage="1" showErrorMessage="1" sqref="F35:G35" xr:uid="{00000000-0002-0000-0100-000002000000}">
      <formula1>$H$16:$H$20</formula1>
    </dataValidation>
  </dataValidations>
  <hyperlinks>
    <hyperlink ref="E49" r:id="rId2" xr:uid="{00000000-0004-0000-0100-000000000000}"/>
    <hyperlink ref="K13" r:id="rId3" xr:uid="{00000000-0004-0000-0100-000001000000}"/>
  </hyperlinks>
  <pageMargins left="0.74803149606299213" right="0.70866141732283472" top="1.299212598425197" bottom="0.6692913385826772" header="0.23622047244094491" footer="0.51181102362204722"/>
  <pageSetup paperSize="9" orientation="portrait" r:id="rId4"/>
  <headerFooter alignWithMargins="0">
    <oddHeader>&amp;L&amp;G&amp;R&amp;G</oddHeader>
    <oddFooter>&amp;L&amp;"Arial,Standard"V8d - Adopté par l'EP, 20 mars 2018&amp;R&amp;"Arial,Standard"Page &amp;P de &amp;N</oddFooter>
  </headerFooter>
  <rowBreaks count="3" manualBreakCount="3">
    <brk id="29" max="6" man="1"/>
    <brk id="72" max="6" man="1"/>
    <brk id="108" max="6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S101"/>
  <sheetViews>
    <sheetView showGridLines="0" zoomScaleNormal="100" workbookViewId="0">
      <selection activeCell="A64" sqref="A64"/>
    </sheetView>
  </sheetViews>
  <sheetFormatPr baseColWidth="10" defaultColWidth="11.42578125" defaultRowHeight="13.5" x14ac:dyDescent="0.25"/>
  <cols>
    <col min="1" max="1" width="8.85546875" style="18" customWidth="1"/>
    <col min="2" max="2" width="9.7109375" style="18" customWidth="1"/>
    <col min="3" max="3" width="11.42578125" style="18"/>
    <col min="4" max="4" width="14.5703125" style="18" customWidth="1"/>
    <col min="5" max="5" width="17.5703125" style="18" customWidth="1"/>
    <col min="6" max="6" width="12.5703125" style="18" customWidth="1"/>
    <col min="7" max="7" width="12.28515625" style="18" customWidth="1"/>
    <col min="8" max="8" width="34.7109375" style="19" customWidth="1"/>
    <col min="9" max="13" width="11.42578125" style="19" customWidth="1"/>
    <col min="14" max="14" width="11.42578125" style="173" customWidth="1"/>
    <col min="15" max="15" width="11.42578125" style="136" customWidth="1"/>
    <col min="16" max="16" width="11.140625" style="18" customWidth="1"/>
    <col min="17" max="17" width="11.85546875" style="18" customWidth="1"/>
    <col min="18" max="18" width="10.7109375" style="18" customWidth="1"/>
    <col min="19" max="19" width="16.28515625" style="18" customWidth="1"/>
    <col min="20" max="16384" width="11.42578125" style="18"/>
  </cols>
  <sheetData>
    <row r="1" spans="1:19" ht="18" x14ac:dyDescent="0.25">
      <c r="A1" s="60" t="s">
        <v>35</v>
      </c>
      <c r="B1" s="139" t="s">
        <v>224</v>
      </c>
      <c r="C1" s="23"/>
      <c r="D1" s="23"/>
      <c r="E1" s="23"/>
      <c r="F1" s="23"/>
      <c r="G1" s="23"/>
      <c r="H1" s="168" t="s">
        <v>130</v>
      </c>
    </row>
    <row r="2" spans="1:19" ht="14.25" x14ac:dyDescent="0.25">
      <c r="A2" s="27"/>
      <c r="B2" s="23"/>
      <c r="C2" s="23"/>
      <c r="D2" s="23"/>
      <c r="E2" s="23"/>
      <c r="F2" s="23"/>
      <c r="G2" s="23"/>
    </row>
    <row r="3" spans="1:19" ht="34.5" customHeight="1" x14ac:dyDescent="0.25">
      <c r="A3" s="17" t="s">
        <v>161</v>
      </c>
      <c r="B3" s="17" t="s">
        <v>162</v>
      </c>
      <c r="C3" s="17" t="s">
        <v>163</v>
      </c>
      <c r="D3" s="198" t="s">
        <v>212</v>
      </c>
      <c r="E3" s="199"/>
      <c r="F3" s="95" t="s">
        <v>165</v>
      </c>
      <c r="G3" s="95" t="s">
        <v>166</v>
      </c>
      <c r="H3" s="19" t="s">
        <v>212</v>
      </c>
      <c r="J3" s="19" t="s">
        <v>23</v>
      </c>
      <c r="P3" s="118"/>
      <c r="Q3" s="118"/>
      <c r="R3" s="118"/>
      <c r="S3" s="118"/>
    </row>
    <row r="4" spans="1:19" ht="26.25" customHeight="1" x14ac:dyDescent="0.25">
      <c r="A4" s="61"/>
      <c r="B4" s="140" t="s">
        <v>159</v>
      </c>
      <c r="C4" s="62"/>
      <c r="D4" s="241"/>
      <c r="E4" s="242"/>
      <c r="F4" s="63"/>
      <c r="G4" s="62"/>
      <c r="H4" s="164" t="s">
        <v>240</v>
      </c>
      <c r="J4" s="165" t="str">
        <f>IF(G4&gt;0,G4/F4,"")</f>
        <v/>
      </c>
      <c r="P4" s="119"/>
      <c r="Q4" s="118"/>
      <c r="R4" s="118"/>
      <c r="S4" s="118"/>
    </row>
    <row r="5" spans="1:19" ht="26.25" customHeight="1" x14ac:dyDescent="0.25">
      <c r="A5" s="61"/>
      <c r="B5" s="140" t="s">
        <v>159</v>
      </c>
      <c r="C5" s="62"/>
      <c r="D5" s="241"/>
      <c r="E5" s="242"/>
      <c r="F5" s="63"/>
      <c r="G5" s="62"/>
      <c r="H5" s="164" t="s">
        <v>239</v>
      </c>
      <c r="J5" s="165" t="str">
        <f t="shared" ref="J5:J23" si="0">IF(G5&gt;0,G5/F5,"")</f>
        <v/>
      </c>
      <c r="P5" s="120"/>
      <c r="Q5" s="120"/>
      <c r="R5" s="120"/>
      <c r="S5" s="120"/>
    </row>
    <row r="6" spans="1:19" ht="26.25" customHeight="1" x14ac:dyDescent="0.25">
      <c r="A6" s="61"/>
      <c r="B6" s="140" t="s">
        <v>159</v>
      </c>
      <c r="C6" s="62"/>
      <c r="D6" s="241"/>
      <c r="E6" s="242"/>
      <c r="F6" s="63"/>
      <c r="G6" s="62"/>
      <c r="H6" s="164" t="s">
        <v>218</v>
      </c>
      <c r="J6" s="165" t="str">
        <f t="shared" si="0"/>
        <v/>
      </c>
      <c r="P6" s="120"/>
      <c r="Q6" s="120"/>
      <c r="R6" s="120"/>
      <c r="S6" s="120"/>
    </row>
    <row r="7" spans="1:19" ht="26.25" customHeight="1" x14ac:dyDescent="0.25">
      <c r="A7" s="61"/>
      <c r="B7" s="140" t="s">
        <v>159</v>
      </c>
      <c r="C7" s="62"/>
      <c r="D7" s="241"/>
      <c r="E7" s="242"/>
      <c r="F7" s="63"/>
      <c r="G7" s="62"/>
      <c r="J7" s="165" t="str">
        <f t="shared" si="0"/>
        <v/>
      </c>
      <c r="P7" s="120"/>
      <c r="Q7" s="120"/>
      <c r="R7" s="120"/>
      <c r="S7" s="120"/>
    </row>
    <row r="8" spans="1:19" ht="26.25" customHeight="1" x14ac:dyDescent="0.25">
      <c r="A8" s="61"/>
      <c r="B8" s="140" t="s">
        <v>159</v>
      </c>
      <c r="C8" s="62"/>
      <c r="D8" s="241"/>
      <c r="E8" s="242"/>
      <c r="F8" s="63"/>
      <c r="G8" s="62"/>
      <c r="J8" s="165" t="str">
        <f t="shared" si="0"/>
        <v/>
      </c>
      <c r="P8" s="120"/>
      <c r="Q8" s="120"/>
      <c r="R8" s="120"/>
      <c r="S8" s="120"/>
    </row>
    <row r="9" spans="1:19" ht="26.25" customHeight="1" x14ac:dyDescent="0.25">
      <c r="A9" s="61"/>
      <c r="B9" s="140" t="s">
        <v>159</v>
      </c>
      <c r="C9" s="62"/>
      <c r="D9" s="241"/>
      <c r="E9" s="242"/>
      <c r="F9" s="63"/>
      <c r="G9" s="62"/>
      <c r="J9" s="165" t="str">
        <f t="shared" si="0"/>
        <v/>
      </c>
      <c r="P9" s="118"/>
      <c r="Q9" s="120"/>
      <c r="R9" s="118"/>
      <c r="S9" s="120"/>
    </row>
    <row r="10" spans="1:19" ht="26.25" customHeight="1" x14ac:dyDescent="0.25">
      <c r="A10" s="61"/>
      <c r="B10" s="140" t="s">
        <v>159</v>
      </c>
      <c r="C10" s="62"/>
      <c r="D10" s="241"/>
      <c r="E10" s="242"/>
      <c r="F10" s="63"/>
      <c r="G10" s="62"/>
      <c r="J10" s="165" t="str">
        <f t="shared" si="0"/>
        <v/>
      </c>
      <c r="P10" s="120"/>
      <c r="Q10" s="120"/>
      <c r="R10" s="118"/>
      <c r="S10" s="120"/>
    </row>
    <row r="11" spans="1:19" ht="26.25" customHeight="1" x14ac:dyDescent="0.25">
      <c r="A11" s="61"/>
      <c r="B11" s="140" t="s">
        <v>159</v>
      </c>
      <c r="C11" s="62"/>
      <c r="D11" s="241"/>
      <c r="E11" s="242"/>
      <c r="F11" s="63"/>
      <c r="G11" s="62"/>
      <c r="J11" s="165" t="str">
        <f>IF(G11&gt;0,G11/F11,"")</f>
        <v/>
      </c>
      <c r="P11" s="120"/>
      <c r="Q11" s="120"/>
      <c r="R11" s="120"/>
      <c r="S11" s="120"/>
    </row>
    <row r="12" spans="1:19" ht="26.25" customHeight="1" x14ac:dyDescent="0.25">
      <c r="A12" s="61"/>
      <c r="B12" s="140" t="s">
        <v>159</v>
      </c>
      <c r="C12" s="62"/>
      <c r="D12" s="241"/>
      <c r="E12" s="242"/>
      <c r="F12" s="63"/>
      <c r="G12" s="62"/>
      <c r="J12" s="165" t="str">
        <f t="shared" si="0"/>
        <v/>
      </c>
      <c r="P12" s="120"/>
      <c r="Q12" s="120"/>
      <c r="R12" s="120"/>
      <c r="S12" s="120"/>
    </row>
    <row r="13" spans="1:19" ht="26.25" customHeight="1" x14ac:dyDescent="0.25">
      <c r="A13" s="61"/>
      <c r="B13" s="140" t="s">
        <v>159</v>
      </c>
      <c r="C13" s="62"/>
      <c r="D13" s="241"/>
      <c r="E13" s="242"/>
      <c r="F13" s="63"/>
      <c r="G13" s="62"/>
      <c r="J13" s="165" t="str">
        <f>IF(G13&gt;0,G13/F13,"")</f>
        <v/>
      </c>
      <c r="P13" s="120"/>
      <c r="Q13" s="120"/>
      <c r="R13" s="120"/>
      <c r="S13" s="120"/>
    </row>
    <row r="14" spans="1:19" ht="26.25" customHeight="1" x14ac:dyDescent="0.25">
      <c r="A14" s="61"/>
      <c r="B14" s="140" t="s">
        <v>159</v>
      </c>
      <c r="C14" s="62"/>
      <c r="D14" s="241"/>
      <c r="E14" s="242"/>
      <c r="F14" s="63"/>
      <c r="G14" s="62"/>
      <c r="J14" s="165" t="str">
        <f t="shared" si="0"/>
        <v/>
      </c>
      <c r="P14" s="120"/>
      <c r="Q14" s="120"/>
      <c r="R14" s="120"/>
      <c r="S14" s="120"/>
    </row>
    <row r="15" spans="1:19" ht="26.25" customHeight="1" x14ac:dyDescent="0.25">
      <c r="A15" s="61"/>
      <c r="B15" s="140" t="s">
        <v>159</v>
      </c>
      <c r="C15" s="62"/>
      <c r="D15" s="241"/>
      <c r="E15" s="242"/>
      <c r="F15" s="63"/>
      <c r="G15" s="62"/>
      <c r="J15" s="165" t="str">
        <f t="shared" si="0"/>
        <v/>
      </c>
      <c r="P15" s="118"/>
      <c r="Q15" s="120"/>
      <c r="R15" s="118"/>
      <c r="S15" s="120"/>
    </row>
    <row r="16" spans="1:19" ht="26.25" customHeight="1" x14ac:dyDescent="0.25">
      <c r="A16" s="61"/>
      <c r="B16" s="140" t="s">
        <v>159</v>
      </c>
      <c r="C16" s="62"/>
      <c r="D16" s="241"/>
      <c r="E16" s="242"/>
      <c r="F16" s="63"/>
      <c r="G16" s="62"/>
      <c r="J16" s="165" t="str">
        <f>IF(G16&gt;0,G16/F16,"")</f>
        <v/>
      </c>
      <c r="P16" s="120"/>
      <c r="Q16" s="120"/>
      <c r="R16" s="118"/>
      <c r="S16" s="120"/>
    </row>
    <row r="17" spans="1:19" ht="26.25" customHeight="1" x14ac:dyDescent="0.25">
      <c r="A17" s="61"/>
      <c r="B17" s="140" t="s">
        <v>159</v>
      </c>
      <c r="C17" s="62"/>
      <c r="D17" s="241"/>
      <c r="E17" s="242"/>
      <c r="F17" s="63"/>
      <c r="G17" s="62"/>
      <c r="J17" s="165" t="str">
        <f t="shared" ref="J17" si="1">IF(G17&gt;0,G17/F17,"")</f>
        <v/>
      </c>
      <c r="P17" s="120"/>
      <c r="Q17" s="120"/>
      <c r="R17" s="120"/>
      <c r="S17" s="120"/>
    </row>
    <row r="18" spans="1:19" ht="26.25" customHeight="1" x14ac:dyDescent="0.25">
      <c r="A18" s="61"/>
      <c r="B18" s="140" t="s">
        <v>159</v>
      </c>
      <c r="C18" s="62"/>
      <c r="D18" s="241"/>
      <c r="E18" s="242"/>
      <c r="F18" s="63"/>
      <c r="G18" s="62"/>
      <c r="J18" s="165" t="str">
        <f t="shared" si="0"/>
        <v/>
      </c>
      <c r="P18" s="120"/>
      <c r="Q18" s="120"/>
      <c r="R18" s="120"/>
      <c r="S18" s="120"/>
    </row>
    <row r="19" spans="1:19" ht="26.25" customHeight="1" x14ac:dyDescent="0.25">
      <c r="A19" s="61"/>
      <c r="B19" s="140" t="s">
        <v>159</v>
      </c>
      <c r="C19" s="62"/>
      <c r="D19" s="241"/>
      <c r="E19" s="242"/>
      <c r="F19" s="63"/>
      <c r="G19" s="62"/>
      <c r="J19" s="165" t="str">
        <f t="shared" si="0"/>
        <v/>
      </c>
    </row>
    <row r="20" spans="1:19" ht="26.25" customHeight="1" x14ac:dyDescent="0.25">
      <c r="A20" s="61"/>
      <c r="B20" s="140" t="s">
        <v>159</v>
      </c>
      <c r="C20" s="62"/>
      <c r="D20" s="241"/>
      <c r="E20" s="242"/>
      <c r="F20" s="63"/>
      <c r="G20" s="62"/>
      <c r="J20" s="165" t="str">
        <f t="shared" si="0"/>
        <v/>
      </c>
    </row>
    <row r="21" spans="1:19" ht="26.25" customHeight="1" x14ac:dyDescent="0.25">
      <c r="A21" s="61"/>
      <c r="B21" s="140" t="s">
        <v>159</v>
      </c>
      <c r="C21" s="62"/>
      <c r="D21" s="241"/>
      <c r="E21" s="242"/>
      <c r="F21" s="63"/>
      <c r="G21" s="62"/>
      <c r="J21" s="165" t="str">
        <f t="shared" si="0"/>
        <v/>
      </c>
    </row>
    <row r="22" spans="1:19" ht="26.25" customHeight="1" x14ac:dyDescent="0.25">
      <c r="A22" s="61"/>
      <c r="B22" s="140" t="s">
        <v>159</v>
      </c>
      <c r="C22" s="62"/>
      <c r="D22" s="241"/>
      <c r="E22" s="242"/>
      <c r="F22" s="63"/>
      <c r="G22" s="62"/>
      <c r="J22" s="165" t="str">
        <f t="shared" si="0"/>
        <v/>
      </c>
    </row>
    <row r="23" spans="1:19" ht="26.25" customHeight="1" x14ac:dyDescent="0.25">
      <c r="A23" s="61"/>
      <c r="B23" s="140" t="s">
        <v>159</v>
      </c>
      <c r="C23" s="62"/>
      <c r="D23" s="241"/>
      <c r="E23" s="242"/>
      <c r="F23" s="63"/>
      <c r="G23" s="62"/>
      <c r="J23" s="165" t="str">
        <f t="shared" si="0"/>
        <v/>
      </c>
    </row>
    <row r="24" spans="1:19" ht="14.25" x14ac:dyDescent="0.25">
      <c r="A24" s="27"/>
      <c r="B24" s="23"/>
      <c r="C24" s="23"/>
      <c r="D24" s="23"/>
      <c r="E24" s="23"/>
      <c r="F24" s="23"/>
      <c r="G24" s="23"/>
      <c r="J24" s="165"/>
    </row>
    <row r="25" spans="1:19" ht="14.25" x14ac:dyDescent="0.25">
      <c r="A25" s="215" t="s">
        <v>225</v>
      </c>
      <c r="B25" s="216"/>
      <c r="C25" s="216"/>
      <c r="D25" s="216"/>
      <c r="E25" s="216"/>
      <c r="F25" s="216"/>
      <c r="G25" s="216"/>
      <c r="J25" s="165"/>
    </row>
    <row r="26" spans="1:19" ht="14.25" x14ac:dyDescent="0.25">
      <c r="A26" s="64"/>
      <c r="B26" s="65"/>
      <c r="C26" s="65"/>
      <c r="D26" s="65"/>
      <c r="E26" s="65"/>
      <c r="F26" s="65"/>
      <c r="G26" s="65"/>
    </row>
    <row r="27" spans="1:19" ht="16.5" x14ac:dyDescent="0.25">
      <c r="A27" s="66" t="s">
        <v>183</v>
      </c>
      <c r="B27" s="73"/>
      <c r="C27" s="243" t="s">
        <v>226</v>
      </c>
      <c r="D27" s="244"/>
      <c r="E27" s="68" t="s">
        <v>22</v>
      </c>
      <c r="F27" s="240">
        <f>SUM(G4:G23)</f>
        <v>0</v>
      </c>
      <c r="G27" s="221"/>
    </row>
    <row r="28" spans="1:19" ht="16.5" x14ac:dyDescent="0.25">
      <c r="A28" s="71"/>
      <c r="B28" s="72"/>
      <c r="C28" s="33" t="s">
        <v>227</v>
      </c>
      <c r="D28" s="21"/>
      <c r="E28" s="68" t="s">
        <v>22</v>
      </c>
      <c r="F28" s="220">
        <f>F27</f>
        <v>0</v>
      </c>
      <c r="G28" s="221"/>
    </row>
    <row r="29" spans="1:19" ht="14.25" x14ac:dyDescent="0.25">
      <c r="A29" s="27"/>
      <c r="B29" s="23"/>
      <c r="C29" s="23"/>
      <c r="D29" s="23"/>
      <c r="E29" s="23"/>
      <c r="F29" s="23"/>
      <c r="G29" s="23"/>
    </row>
    <row r="30" spans="1:19" ht="14.25" x14ac:dyDescent="0.25">
      <c r="A30" s="27"/>
      <c r="B30" s="23"/>
      <c r="C30" s="23"/>
      <c r="D30" s="22"/>
      <c r="E30" s="22"/>
      <c r="F30" s="22"/>
      <c r="G30" s="22"/>
    </row>
    <row r="31" spans="1:19" ht="18" x14ac:dyDescent="0.25">
      <c r="A31" s="60" t="s">
        <v>27</v>
      </c>
      <c r="B31" s="60" t="s">
        <v>186</v>
      </c>
      <c r="C31" s="23"/>
      <c r="D31" s="22"/>
      <c r="E31" s="22"/>
      <c r="F31" s="22"/>
      <c r="G31" s="22"/>
    </row>
    <row r="32" spans="1:19" ht="14.25" x14ac:dyDescent="0.25">
      <c r="A32" s="27"/>
      <c r="B32" s="23"/>
      <c r="C32" s="23"/>
      <c r="D32" s="22"/>
      <c r="E32" s="22"/>
      <c r="F32" s="22"/>
      <c r="G32" s="22"/>
    </row>
    <row r="33" spans="1:7" ht="14.25" customHeight="1" x14ac:dyDescent="0.25">
      <c r="A33" s="215" t="s">
        <v>228</v>
      </c>
      <c r="B33" s="219"/>
      <c r="C33" s="219"/>
      <c r="D33" s="219"/>
      <c r="E33" s="219"/>
      <c r="F33" s="219"/>
      <c r="G33" s="219"/>
    </row>
    <row r="34" spans="1:7" ht="14.25" x14ac:dyDescent="0.25">
      <c r="A34" s="27"/>
      <c r="B34" s="23"/>
      <c r="C34" s="23"/>
      <c r="D34" s="22"/>
      <c r="E34" s="22"/>
      <c r="F34" s="22"/>
      <c r="G34" s="22"/>
    </row>
    <row r="35" spans="1:7" ht="39" customHeight="1" x14ac:dyDescent="0.25">
      <c r="A35" s="209" t="s">
        <v>229</v>
      </c>
      <c r="B35" s="235"/>
      <c r="C35" s="235"/>
      <c r="D35" s="235"/>
      <c r="E35" s="236"/>
      <c r="F35" s="13">
        <f>SUMIFS($C$4:$C$23,$D$4:$D$23,$H$4)</f>
        <v>0</v>
      </c>
      <c r="G35" s="14" t="s">
        <v>3</v>
      </c>
    </row>
    <row r="36" spans="1:7" ht="30" customHeight="1" x14ac:dyDescent="0.25">
      <c r="A36" s="209" t="s">
        <v>230</v>
      </c>
      <c r="B36" s="237"/>
      <c r="C36" s="237"/>
      <c r="D36" s="237"/>
      <c r="E36" s="238"/>
      <c r="F36" s="13">
        <f>SUMIFS($G$4:$G$23,$D$4:$D$23,$H$4)</f>
        <v>0</v>
      </c>
      <c r="G36" s="14" t="s">
        <v>4</v>
      </c>
    </row>
    <row r="37" spans="1:7" ht="15.75" customHeight="1" x14ac:dyDescent="0.25">
      <c r="A37" s="20" t="s">
        <v>231</v>
      </c>
      <c r="B37" s="21"/>
      <c r="C37" s="21"/>
      <c r="D37" s="21"/>
      <c r="E37" s="14"/>
      <c r="F37" s="13">
        <f>(0.057*F35+0.037*F36)/100</f>
        <v>0</v>
      </c>
      <c r="G37" s="14" t="s">
        <v>5</v>
      </c>
    </row>
    <row r="38" spans="1:7" ht="14.25" x14ac:dyDescent="0.25">
      <c r="A38" s="22"/>
      <c r="B38" s="23"/>
      <c r="C38" s="23"/>
      <c r="D38" s="22"/>
      <c r="E38" s="22"/>
      <c r="F38" s="22"/>
      <c r="G38" s="22"/>
    </row>
    <row r="39" spans="1:7" ht="30.75" customHeight="1" x14ac:dyDescent="0.25">
      <c r="A39" s="209" t="s">
        <v>232</v>
      </c>
      <c r="B39" s="235"/>
      <c r="C39" s="235"/>
      <c r="D39" s="235"/>
      <c r="E39" s="236"/>
      <c r="F39" s="13">
        <f>SUMIFS($C$4:$C$23,$D$4:$D$23,$H$5)</f>
        <v>0</v>
      </c>
      <c r="G39" s="14" t="s">
        <v>3</v>
      </c>
    </row>
    <row r="40" spans="1:7" ht="30" customHeight="1" x14ac:dyDescent="0.25">
      <c r="A40" s="209" t="s">
        <v>233</v>
      </c>
      <c r="B40" s="237"/>
      <c r="C40" s="237"/>
      <c r="D40" s="237"/>
      <c r="E40" s="238"/>
      <c r="F40" s="13">
        <f>SUMIFS($G$4:$G$23,$D$4:$D$23,$H$5)</f>
        <v>0</v>
      </c>
      <c r="G40" s="14" t="s">
        <v>4</v>
      </c>
    </row>
    <row r="41" spans="1:7" ht="15.75" customHeight="1" x14ac:dyDescent="0.25">
      <c r="A41" s="20" t="s">
        <v>234</v>
      </c>
      <c r="B41" s="21"/>
      <c r="C41" s="21"/>
      <c r="D41" s="21"/>
      <c r="E41" s="14"/>
      <c r="F41" s="13">
        <f>(1.1345*F39+0.74*F40)/100</f>
        <v>0</v>
      </c>
      <c r="G41" s="14" t="s">
        <v>5</v>
      </c>
    </row>
    <row r="42" spans="1:7" ht="15.75" customHeight="1" x14ac:dyDescent="0.25">
      <c r="A42" s="22"/>
      <c r="B42" s="23"/>
      <c r="C42" s="23"/>
      <c r="D42" s="22"/>
      <c r="E42" s="22"/>
      <c r="F42" s="22"/>
      <c r="G42" s="22"/>
    </row>
    <row r="43" spans="1:7" ht="15.75" customHeight="1" x14ac:dyDescent="0.25">
      <c r="A43" s="74" t="s">
        <v>235</v>
      </c>
      <c r="B43" s="75"/>
      <c r="C43" s="75"/>
      <c r="D43" s="76"/>
      <c r="E43" s="77"/>
      <c r="F43" s="175">
        <f>COUNTIF($D$4:$D$23,$H$6)</f>
        <v>0</v>
      </c>
      <c r="G43" s="78"/>
    </row>
    <row r="44" spans="1:7" ht="15.75" customHeight="1" x14ac:dyDescent="0.25">
      <c r="A44" s="20" t="s">
        <v>236</v>
      </c>
      <c r="B44" s="75"/>
      <c r="C44" s="76"/>
      <c r="D44" s="76"/>
      <c r="E44" s="77"/>
      <c r="F44" s="13">
        <f>(31.2*SUMIF($D$4:$D$23,$H$6,F4:F23)+F43*329.6+0.00761*SUMIF($D$4:$D$23,$H$6,J4:J23))/100</f>
        <v>0</v>
      </c>
      <c r="G44" s="80" t="s">
        <v>5</v>
      </c>
    </row>
    <row r="45" spans="1:7" ht="15.75" customHeight="1" x14ac:dyDescent="0.25">
      <c r="A45" s="27"/>
      <c r="B45" s="23"/>
      <c r="C45" s="23"/>
      <c r="D45" s="22"/>
      <c r="E45" s="22"/>
      <c r="F45" s="22"/>
      <c r="G45" s="22"/>
    </row>
    <row r="46" spans="1:7" ht="15.75" customHeight="1" x14ac:dyDescent="0.25">
      <c r="A46" s="28" t="s">
        <v>193</v>
      </c>
      <c r="B46" s="29"/>
      <c r="C46" s="21"/>
      <c r="D46" s="21"/>
      <c r="E46" s="14"/>
      <c r="F46" s="30">
        <f>F37+F41+F44</f>
        <v>0</v>
      </c>
      <c r="G46" s="31" t="s">
        <v>5</v>
      </c>
    </row>
    <row r="47" spans="1:7" ht="14.25" x14ac:dyDescent="0.25">
      <c r="A47" s="27"/>
      <c r="B47" s="23"/>
      <c r="C47" s="23"/>
      <c r="D47" s="22"/>
      <c r="E47" s="22"/>
      <c r="F47" s="22"/>
      <c r="G47" s="22"/>
    </row>
    <row r="48" spans="1:7" ht="14.25" x14ac:dyDescent="0.25">
      <c r="A48" s="27"/>
      <c r="B48" s="23"/>
      <c r="C48" s="23"/>
      <c r="D48" s="22"/>
      <c r="E48" s="22"/>
      <c r="F48" s="22"/>
      <c r="G48" s="22"/>
    </row>
    <row r="49" spans="1:16" ht="18" x14ac:dyDescent="0.25">
      <c r="A49" s="60" t="s">
        <v>26</v>
      </c>
      <c r="B49" s="60" t="s">
        <v>205</v>
      </c>
      <c r="C49" s="23"/>
      <c r="D49" s="22"/>
      <c r="E49" s="22"/>
      <c r="F49" s="22"/>
      <c r="G49" s="22"/>
    </row>
    <row r="50" spans="1:16" ht="14.25" x14ac:dyDescent="0.25">
      <c r="A50" s="27"/>
      <c r="B50" s="23"/>
      <c r="C50" s="23"/>
      <c r="D50" s="22"/>
      <c r="E50" s="22"/>
      <c r="F50" s="22"/>
      <c r="G50" s="22"/>
    </row>
    <row r="51" spans="1:16" ht="30.75" customHeight="1" x14ac:dyDescent="0.25">
      <c r="A51" s="215" t="s">
        <v>206</v>
      </c>
      <c r="B51" s="219"/>
      <c r="C51" s="219"/>
      <c r="D51" s="219"/>
      <c r="E51" s="219"/>
      <c r="F51" s="219"/>
      <c r="G51" s="219"/>
    </row>
    <row r="52" spans="1:16" ht="15.75" customHeight="1" x14ac:dyDescent="0.25">
      <c r="A52" s="27"/>
      <c r="B52" s="23"/>
      <c r="C52" s="23"/>
      <c r="D52" s="22"/>
      <c r="E52" s="22"/>
      <c r="F52" s="22"/>
      <c r="G52" s="22"/>
    </row>
    <row r="53" spans="1:16" ht="15.75" customHeight="1" x14ac:dyDescent="0.25">
      <c r="A53" s="20" t="s">
        <v>237</v>
      </c>
      <c r="B53" s="34"/>
      <c r="C53" s="21"/>
      <c r="D53" s="21"/>
      <c r="E53" s="14"/>
      <c r="F53" s="35"/>
      <c r="G53" s="36" t="s">
        <v>10</v>
      </c>
    </row>
    <row r="54" spans="1:16" ht="15.75" customHeight="1" x14ac:dyDescent="0.25">
      <c r="A54" s="20" t="s">
        <v>238</v>
      </c>
      <c r="B54" s="34"/>
      <c r="C54" s="21"/>
      <c r="D54" s="21"/>
      <c r="E54" s="14"/>
      <c r="F54" s="35"/>
      <c r="G54" s="36" t="s">
        <v>10</v>
      </c>
    </row>
    <row r="55" spans="1:16" ht="15.75" customHeight="1" x14ac:dyDescent="0.25">
      <c r="A55" s="38"/>
      <c r="B55" s="39"/>
      <c r="C55" s="40"/>
      <c r="D55" s="22"/>
      <c r="E55" s="22"/>
      <c r="F55" s="22"/>
      <c r="G55" s="22"/>
    </row>
    <row r="56" spans="1:16" ht="15.75" customHeight="1" x14ac:dyDescent="0.25">
      <c r="A56" s="50" t="s">
        <v>209</v>
      </c>
      <c r="B56" s="42"/>
      <c r="C56" s="21"/>
      <c r="D56" s="21"/>
      <c r="E56" s="14"/>
      <c r="F56" s="81">
        <f>IF(F53&gt;0,4.2*F27/F53/1000/100,0)+IF(F54&gt;0,4.2*F28/F54/1000/100,0)</f>
        <v>0</v>
      </c>
      <c r="G56" s="43" t="s">
        <v>5</v>
      </c>
    </row>
    <row r="57" spans="1:16" ht="14.25" x14ac:dyDescent="0.25">
      <c r="A57" s="27"/>
      <c r="B57" s="23"/>
      <c r="C57" s="23"/>
      <c r="D57" s="22"/>
      <c r="E57" s="22"/>
      <c r="F57" s="22"/>
      <c r="G57" s="22"/>
    </row>
    <row r="58" spans="1:16" ht="14.25" x14ac:dyDescent="0.25">
      <c r="A58" s="27"/>
      <c r="B58" s="23"/>
      <c r="C58" s="23"/>
      <c r="D58" s="22"/>
      <c r="E58" s="22"/>
      <c r="F58" s="22"/>
      <c r="G58" s="22"/>
    </row>
    <row r="59" spans="1:16" ht="18" x14ac:dyDescent="0.25">
      <c r="A59" s="60" t="s">
        <v>25</v>
      </c>
      <c r="B59" s="60" t="s">
        <v>210</v>
      </c>
      <c r="C59" s="23"/>
      <c r="D59" s="22"/>
      <c r="E59" s="22"/>
      <c r="F59" s="22"/>
      <c r="G59" s="22"/>
      <c r="M59" s="116"/>
    </row>
    <row r="60" spans="1:16" ht="14.25" x14ac:dyDescent="0.25">
      <c r="A60" s="27"/>
      <c r="B60" s="23"/>
      <c r="C60" s="23"/>
      <c r="D60" s="22"/>
      <c r="E60" s="22"/>
      <c r="F60" s="22"/>
      <c r="G60" s="22"/>
      <c r="N60" s="174"/>
      <c r="O60" s="137"/>
      <c r="P60" s="47"/>
    </row>
    <row r="61" spans="1:16" ht="14.25" customHeight="1" x14ac:dyDescent="0.25">
      <c r="A61" s="215" t="s">
        <v>211</v>
      </c>
      <c r="B61" s="219"/>
      <c r="C61" s="219"/>
      <c r="D61" s="219"/>
      <c r="E61" s="219"/>
      <c r="F61" s="219"/>
      <c r="G61" s="219"/>
    </row>
    <row r="62" spans="1:16" ht="14.25" x14ac:dyDescent="0.25">
      <c r="A62" s="27"/>
      <c r="B62" s="23"/>
      <c r="C62" s="23"/>
      <c r="D62" s="22"/>
      <c r="E62" s="22"/>
      <c r="F62" s="22"/>
      <c r="G62" s="22"/>
    </row>
    <row r="63" spans="1:16" s="47" customFormat="1" ht="15.75" x14ac:dyDescent="0.25">
      <c r="A63" s="53" t="s">
        <v>161</v>
      </c>
      <c r="B63" s="28" t="s">
        <v>212</v>
      </c>
      <c r="C63" s="54"/>
      <c r="D63" s="55" t="s">
        <v>213</v>
      </c>
      <c r="E63" s="55" t="s">
        <v>165</v>
      </c>
      <c r="F63" s="28" t="s">
        <v>203</v>
      </c>
      <c r="G63" s="31"/>
      <c r="H63" s="19"/>
      <c r="I63" s="19"/>
      <c r="J63" s="19"/>
      <c r="K63" s="19"/>
      <c r="L63" s="19"/>
      <c r="M63" s="19"/>
      <c r="N63" s="173"/>
      <c r="O63" s="136"/>
      <c r="P63" s="18"/>
    </row>
    <row r="64" spans="1:16" ht="24.95" customHeight="1" x14ac:dyDescent="0.25">
      <c r="A64" s="56"/>
      <c r="B64" s="239" t="str">
        <f>IF(A64="","",IF(A64&lt;&gt;"",VLOOKUP(A64,$A$4:$G$23,4,FALSE)))</f>
        <v/>
      </c>
      <c r="C64" s="239"/>
      <c r="D64" s="124">
        <f t="shared" ref="D64:D69" si="2">SUMIF($A$4:$A$23,A64,$C$4:$C$23)</f>
        <v>0</v>
      </c>
      <c r="E64" s="58">
        <f t="shared" ref="E64:E69" si="3">SUMIF($A$4:$A$23,A64,$F$4:$F$23)</f>
        <v>0</v>
      </c>
      <c r="F64" s="176" t="str">
        <f t="shared" ref="F64:F69" si="4">IF(A64="","",IF(OR(B64=$H$4,B64=$H$6),$I$66/4*PI()*(E64^2)*$I$64/1000,IF(B64=$H$5,D64*$I$64/1000,"Tanktyp?")))</f>
        <v/>
      </c>
      <c r="G64" s="141" t="s">
        <v>9</v>
      </c>
      <c r="H64" s="19" t="s">
        <v>68</v>
      </c>
      <c r="I64" s="19">
        <v>10</v>
      </c>
      <c r="J64" s="19" t="s">
        <v>69</v>
      </c>
    </row>
    <row r="65" spans="1:11" ht="24.95" customHeight="1" x14ac:dyDescent="0.25">
      <c r="A65" s="56"/>
      <c r="B65" s="239" t="str">
        <f>IF(A65="","",IF(A65&lt;&gt;"",VLOOKUP(A65,$A$4:$G$23,4,FALSE)))</f>
        <v/>
      </c>
      <c r="C65" s="239"/>
      <c r="D65" s="124">
        <f t="shared" si="2"/>
        <v>0</v>
      </c>
      <c r="E65" s="58">
        <f t="shared" si="3"/>
        <v>0</v>
      </c>
      <c r="F65" s="176" t="str">
        <f t="shared" si="4"/>
        <v/>
      </c>
      <c r="G65" s="141" t="s">
        <v>9</v>
      </c>
      <c r="H65" s="19" t="s">
        <v>70</v>
      </c>
      <c r="I65" s="167">
        <v>1.1000000000000001</v>
      </c>
    </row>
    <row r="66" spans="1:11" ht="24.95" customHeight="1" x14ac:dyDescent="0.25">
      <c r="A66" s="56"/>
      <c r="B66" s="239" t="str">
        <f t="shared" ref="B66:B69" si="5">IF(A66="","",IF(A66&lt;&gt;"",VLOOKUP(A66,$A$4:$G$23,4,FALSE)))</f>
        <v/>
      </c>
      <c r="C66" s="239"/>
      <c r="D66" s="124">
        <f t="shared" si="2"/>
        <v>0</v>
      </c>
      <c r="E66" s="58">
        <f t="shared" si="3"/>
        <v>0</v>
      </c>
      <c r="F66" s="176" t="str">
        <f t="shared" si="4"/>
        <v/>
      </c>
      <c r="G66" s="141" t="s">
        <v>9</v>
      </c>
      <c r="H66" s="19" t="s">
        <v>71</v>
      </c>
      <c r="I66" s="19">
        <v>1.8</v>
      </c>
      <c r="J66" s="19" t="s">
        <v>63</v>
      </c>
    </row>
    <row r="67" spans="1:11" ht="24.95" customHeight="1" x14ac:dyDescent="0.25">
      <c r="A67" s="56"/>
      <c r="B67" s="239" t="str">
        <f t="shared" si="5"/>
        <v/>
      </c>
      <c r="C67" s="239"/>
      <c r="D67" s="124">
        <f t="shared" si="2"/>
        <v>0</v>
      </c>
      <c r="E67" s="58">
        <f t="shared" si="3"/>
        <v>0</v>
      </c>
      <c r="F67" s="176" t="str">
        <f t="shared" si="4"/>
        <v/>
      </c>
      <c r="G67" s="141" t="s">
        <v>9</v>
      </c>
    </row>
    <row r="68" spans="1:11" ht="24.95" customHeight="1" x14ac:dyDescent="0.25">
      <c r="A68" s="56"/>
      <c r="B68" s="239" t="str">
        <f t="shared" si="5"/>
        <v/>
      </c>
      <c r="C68" s="239"/>
      <c r="D68" s="124">
        <f t="shared" si="2"/>
        <v>0</v>
      </c>
      <c r="E68" s="58">
        <f t="shared" si="3"/>
        <v>0</v>
      </c>
      <c r="F68" s="176" t="str">
        <f t="shared" si="4"/>
        <v/>
      </c>
      <c r="G68" s="141" t="s">
        <v>9</v>
      </c>
    </row>
    <row r="69" spans="1:11" ht="24.95" customHeight="1" x14ac:dyDescent="0.25">
      <c r="A69" s="56"/>
      <c r="B69" s="239" t="str">
        <f t="shared" si="5"/>
        <v/>
      </c>
      <c r="C69" s="239"/>
      <c r="D69" s="124">
        <f t="shared" si="2"/>
        <v>0</v>
      </c>
      <c r="E69" s="58">
        <f t="shared" si="3"/>
        <v>0</v>
      </c>
      <c r="F69" s="176" t="str">
        <f t="shared" si="4"/>
        <v/>
      </c>
      <c r="G69" s="141" t="s">
        <v>9</v>
      </c>
    </row>
    <row r="70" spans="1:11" ht="14.25" customHeight="1" x14ac:dyDescent="0.25">
      <c r="A70" s="38"/>
      <c r="B70" s="39"/>
      <c r="C70" s="40"/>
      <c r="D70" s="22"/>
      <c r="E70" s="22"/>
      <c r="F70" s="123"/>
      <c r="G70" s="22"/>
    </row>
    <row r="71" spans="1:11" ht="14.25" customHeight="1" x14ac:dyDescent="0.25">
      <c r="A71" s="28" t="s">
        <v>214</v>
      </c>
      <c r="B71" s="42"/>
      <c r="C71" s="21"/>
      <c r="D71" s="21"/>
      <c r="E71" s="14"/>
      <c r="F71" s="82">
        <f>SUM(F64:F69)</f>
        <v>0</v>
      </c>
      <c r="G71" s="43" t="s">
        <v>5</v>
      </c>
    </row>
    <row r="72" spans="1:11" ht="14.25" customHeight="1" x14ac:dyDescent="0.25">
      <c r="A72" s="27"/>
      <c r="B72" s="23"/>
      <c r="C72" s="23"/>
      <c r="D72" s="22"/>
      <c r="E72" s="22"/>
      <c r="F72" s="22"/>
      <c r="G72" s="22"/>
    </row>
    <row r="73" spans="1:11" ht="14.25" customHeight="1" x14ac:dyDescent="0.25">
      <c r="A73" s="27"/>
      <c r="B73" s="23"/>
      <c r="C73" s="23"/>
      <c r="D73" s="22"/>
      <c r="E73" s="22"/>
      <c r="F73" s="22"/>
      <c r="G73" s="22"/>
    </row>
    <row r="74" spans="1:11" ht="14.25" customHeight="1" x14ac:dyDescent="0.25">
      <c r="A74" s="60" t="s">
        <v>24</v>
      </c>
      <c r="B74" s="60" t="s">
        <v>250</v>
      </c>
      <c r="C74" s="23"/>
      <c r="D74" s="22"/>
      <c r="E74" s="22"/>
      <c r="F74" s="22"/>
      <c r="G74" s="22"/>
      <c r="H74" s="116"/>
      <c r="I74" s="116"/>
      <c r="J74" s="116"/>
      <c r="K74" s="116"/>
    </row>
    <row r="75" spans="1:11" ht="14.25" customHeight="1" x14ac:dyDescent="0.25">
      <c r="A75" s="27"/>
      <c r="B75" s="23"/>
      <c r="C75" s="23"/>
      <c r="D75" s="22"/>
      <c r="E75" s="22"/>
      <c r="F75" s="22"/>
      <c r="G75" s="22"/>
      <c r="I75" s="166"/>
    </row>
    <row r="76" spans="1:11" ht="14.25" customHeight="1" x14ac:dyDescent="0.25">
      <c r="A76" s="32" t="s">
        <v>215</v>
      </c>
      <c r="B76" s="23"/>
      <c r="C76" s="23"/>
      <c r="D76" s="22"/>
      <c r="E76" s="22"/>
      <c r="F76" s="22"/>
      <c r="G76" s="22"/>
      <c r="I76" s="166"/>
    </row>
    <row r="77" spans="1:11" ht="14.25" customHeight="1" x14ac:dyDescent="0.25">
      <c r="A77" s="27"/>
      <c r="B77" s="23"/>
      <c r="C77" s="23"/>
      <c r="D77" s="22"/>
      <c r="E77" s="22"/>
      <c r="F77" s="22"/>
      <c r="G77" s="22"/>
      <c r="H77" s="116"/>
      <c r="I77" s="116"/>
      <c r="J77" s="116"/>
      <c r="K77" s="116"/>
    </row>
    <row r="78" spans="1:11" ht="24.95" customHeight="1" x14ac:dyDescent="0.25">
      <c r="A78" s="206"/>
      <c r="B78" s="213"/>
      <c r="C78" s="213"/>
      <c r="D78" s="213"/>
      <c r="E78" s="214"/>
      <c r="F78" s="59"/>
      <c r="G78" s="36" t="s">
        <v>9</v>
      </c>
    </row>
    <row r="79" spans="1:11" ht="24.95" customHeight="1" x14ac:dyDescent="0.25">
      <c r="A79" s="206" t="s">
        <v>0</v>
      </c>
      <c r="B79" s="213"/>
      <c r="C79" s="213"/>
      <c r="D79" s="213"/>
      <c r="E79" s="214"/>
      <c r="F79" s="59"/>
      <c r="G79" s="36" t="s">
        <v>9</v>
      </c>
    </row>
    <row r="80" spans="1:11" ht="24.95" customHeight="1" x14ac:dyDescent="0.25">
      <c r="A80" s="206" t="s">
        <v>0</v>
      </c>
      <c r="B80" s="213"/>
      <c r="C80" s="213"/>
      <c r="D80" s="213"/>
      <c r="E80" s="214"/>
      <c r="F80" s="59"/>
      <c r="G80" s="36" t="s">
        <v>9</v>
      </c>
    </row>
    <row r="81" spans="1:19" ht="24.95" customHeight="1" x14ac:dyDescent="0.25">
      <c r="A81" s="232"/>
      <c r="B81" s="233"/>
      <c r="C81" s="233"/>
      <c r="D81" s="233"/>
      <c r="E81" s="234"/>
      <c r="F81" s="59"/>
      <c r="G81" s="36" t="s">
        <v>9</v>
      </c>
    </row>
    <row r="82" spans="1:19" ht="24.95" customHeight="1" x14ac:dyDescent="0.25">
      <c r="A82" s="206" t="s">
        <v>0</v>
      </c>
      <c r="B82" s="213"/>
      <c r="C82" s="213"/>
      <c r="D82" s="213"/>
      <c r="E82" s="214"/>
      <c r="F82" s="59"/>
      <c r="G82" s="36" t="s">
        <v>9</v>
      </c>
    </row>
    <row r="83" spans="1:19" ht="24.95" customHeight="1" x14ac:dyDescent="0.25">
      <c r="A83" s="206" t="s">
        <v>0</v>
      </c>
      <c r="B83" s="213"/>
      <c r="C83" s="213"/>
      <c r="D83" s="213"/>
      <c r="E83" s="214"/>
      <c r="F83" s="59"/>
      <c r="G83" s="36" t="s">
        <v>9</v>
      </c>
    </row>
    <row r="84" spans="1:19" ht="16.5" customHeight="1" x14ac:dyDescent="0.25">
      <c r="A84" s="38"/>
      <c r="B84" s="39"/>
      <c r="C84" s="40"/>
      <c r="D84" s="22"/>
      <c r="E84" s="22"/>
      <c r="F84" s="22"/>
      <c r="G84" s="22"/>
    </row>
    <row r="85" spans="1:19" ht="51" customHeight="1" x14ac:dyDescent="0.25">
      <c r="A85" s="50" t="s">
        <v>251</v>
      </c>
      <c r="B85" s="42"/>
      <c r="C85" s="21"/>
      <c r="D85" s="21"/>
      <c r="E85" s="14"/>
      <c r="F85" s="52">
        <f>SUM(F78:F83)</f>
        <v>0</v>
      </c>
      <c r="G85" s="43" t="s">
        <v>5</v>
      </c>
    </row>
    <row r="86" spans="1:19" ht="51" customHeight="1" x14ac:dyDescent="0.25"/>
    <row r="87" spans="1:19" ht="51" customHeight="1" x14ac:dyDescent="0.25"/>
    <row r="88" spans="1:19" ht="51" customHeight="1" x14ac:dyDescent="0.25"/>
    <row r="89" spans="1:19" ht="51" customHeight="1" x14ac:dyDescent="0.25"/>
    <row r="90" spans="1:19" ht="15.75" customHeight="1" x14ac:dyDescent="0.25"/>
    <row r="91" spans="1:19" ht="15.75" customHeight="1" x14ac:dyDescent="0.25"/>
    <row r="96" spans="1:19" x14ac:dyDescent="0.25">
      <c r="P96" s="79"/>
      <c r="Q96" s="79"/>
      <c r="R96" s="79"/>
      <c r="S96" s="79"/>
    </row>
    <row r="101" spans="19:19" x14ac:dyDescent="0.25">
      <c r="S101" s="47"/>
    </row>
  </sheetData>
  <sheetProtection algorithmName="SHA-512" hashValue="2d0ZDKaj95nFyzzQsXTnis8ZR37QgzUj2UI7syM7X2DWJYoD3/rPd9r1TUn5PmWFXgvN1pqn6osJQFI0GmJmoA==" saltValue="tWuPXkPHmTltcnFOKkGemg==" spinCount="100000" sheet="1" objects="1" scenarios="1" selectLockedCells="1"/>
  <protectedRanges>
    <protectedRange password="CDC0" sqref="A29:G30 A32:G32 A31 C31:G31 A34:G34 A38:G38 G35:G37 A42:G42 G39:G41 A45:G45 B43:E44 A47:G48 B46:G46 A50:G50 A49 C49:G49 A52:G52 G43:G44" name="Bereich1"/>
    <protectedRange password="CDC0" sqref="A55:G55 A57:G58 B56:E56 A60:G60 A59 C59:G59 A62:G62 G56" name="Bereich2"/>
    <protectedRange password="CDC0" sqref="B64:E69 G64:G69" name="Bereich3"/>
    <protectedRange password="CDC0" sqref="A70:G70 A84:G84 A72:G73 B71:G71 A75:G75 A74 C74:G74 A77:G77 B76:G76 A86:G91 B85:G85" name="Bereich4"/>
    <protectedRange password="CDC0" sqref="B31" name="Bereich1_1"/>
    <protectedRange password="CDC0" sqref="A33:G33" name="Bereich1_2"/>
    <protectedRange password="CDC0" sqref="A35:E37" name="Bereich1_3"/>
    <protectedRange password="CDC0" sqref="A39:E41" name="Bereich1_4"/>
    <protectedRange password="CDC0" sqref="A43:A44" name="Bereich1_5"/>
    <protectedRange password="CDC0" sqref="A46" name="Bereich1_6"/>
    <protectedRange password="CDC0" sqref="B49" name="Bereich1_7"/>
    <protectedRange password="CDC0" sqref="A51:G51" name="Bereich1_8"/>
    <protectedRange password="CDC0" sqref="A56" name="Bereich2_1"/>
    <protectedRange password="CDC0" sqref="B59" name="Bereich2_2"/>
    <protectedRange password="CDC0" sqref="A61:G61" name="Bereich2_3"/>
    <protectedRange password="CDC0" sqref="B63:G63" name="Bereich3_1"/>
    <protectedRange password="CDC0" sqref="A71" name="Bereich4_1"/>
    <protectedRange password="CDC0" sqref="B74" name="Bereich4_2"/>
    <protectedRange password="CDC0" sqref="A76" name="Bereich4_3"/>
    <protectedRange password="CDC0" sqref="A85" name="Bereich4_4"/>
    <protectedRange password="CDC0" sqref="F35:F37" name="Bereich1_1_1"/>
    <protectedRange password="CDC0" sqref="F39:F40" name="Bereich1_1_2"/>
    <protectedRange password="CDC0" sqref="F41" name="Bereich1_2_1"/>
    <protectedRange password="CDC0" sqref="F43:F44" name="Bereich1_1_3"/>
    <protectedRange password="CDC0" sqref="F56" name="Bereich2_1_1"/>
    <protectedRange password="CDC0" sqref="F64:F69" name="Bereich3_1_1"/>
  </protectedRanges>
  <customSheetViews>
    <customSheetView guid="{E1EFECED-200B-4694-B1B1-39596CE047E7}" showPageBreaks="1" showGridLines="0" printArea="1" view="pageLayout">
      <selection activeCell="K30" sqref="K30"/>
      <rowBreaks count="2" manualBreakCount="2">
        <brk id="23" max="6" man="1"/>
        <brk id="51" max="6" man="1"/>
      </rowBreaks>
      <pageMargins left="0.74803149606299213" right="0.70866141732283472" top="1.299212598425197" bottom="0.86614173228346458" header="0.23622047244094491" footer="0.51181102362204722"/>
      <pageSetup paperSize="9" orientation="portrait" r:id="rId1"/>
      <headerFooter alignWithMargins="0">
        <oddHeader>&amp;L&amp;G&amp;R&amp;G</oddHeader>
        <oddFooter>&amp;L&amp;"Arial,Standard"Verabschiedet durch LKT, 10. März 2015&amp;R&amp;"Arial,Standard"Seite &amp;P von &amp;N</oddFooter>
      </headerFooter>
    </customSheetView>
  </customSheetViews>
  <mergeCells count="44">
    <mergeCell ref="D20:E20"/>
    <mergeCell ref="D21:E21"/>
    <mergeCell ref="D22:E22"/>
    <mergeCell ref="A25:G25"/>
    <mergeCell ref="D15:E15"/>
    <mergeCell ref="D16:E16"/>
    <mergeCell ref="D17:E17"/>
    <mergeCell ref="D18:E18"/>
    <mergeCell ref="D19:E19"/>
    <mergeCell ref="D4:E4"/>
    <mergeCell ref="D5:E5"/>
    <mergeCell ref="D6:E6"/>
    <mergeCell ref="D13:E13"/>
    <mergeCell ref="D14:E14"/>
    <mergeCell ref="D7:E7"/>
    <mergeCell ref="D8:E8"/>
    <mergeCell ref="D9:E9"/>
    <mergeCell ref="D10:E10"/>
    <mergeCell ref="D11:E11"/>
    <mergeCell ref="D12:E12"/>
    <mergeCell ref="B69:C69"/>
    <mergeCell ref="A33:G33"/>
    <mergeCell ref="F28:G28"/>
    <mergeCell ref="F27:G27"/>
    <mergeCell ref="D23:E23"/>
    <mergeCell ref="C27:D27"/>
    <mergeCell ref="A39:E39"/>
    <mergeCell ref="A36:E36"/>
    <mergeCell ref="D3:E3"/>
    <mergeCell ref="A35:E35"/>
    <mergeCell ref="A83:E83"/>
    <mergeCell ref="A78:E78"/>
    <mergeCell ref="A79:E79"/>
    <mergeCell ref="A40:E40"/>
    <mergeCell ref="A51:G51"/>
    <mergeCell ref="A61:G61"/>
    <mergeCell ref="B64:C64"/>
    <mergeCell ref="B67:C67"/>
    <mergeCell ref="A82:E82"/>
    <mergeCell ref="B66:C66"/>
    <mergeCell ref="B65:C65"/>
    <mergeCell ref="A81:E81"/>
    <mergeCell ref="A80:E80"/>
    <mergeCell ref="B68:C68"/>
  </mergeCells>
  <phoneticPr fontId="0" type="noConversion"/>
  <dataValidations count="1">
    <dataValidation type="list" allowBlank="1" showInputMessage="1" showErrorMessage="1" sqref="D4:E23" xr:uid="{00000000-0002-0000-0200-000000000000}">
      <formula1>$H$4:$H$6</formula1>
    </dataValidation>
  </dataValidations>
  <pageMargins left="0.74803149606299213" right="0.70866141732283472" top="1.299212598425197" bottom="0.6692913385826772" header="0.23622047244094491" footer="0.51181102362204722"/>
  <pageSetup paperSize="9" orientation="portrait" r:id="rId2"/>
  <headerFooter alignWithMargins="0">
    <oddHeader>&amp;L&amp;G&amp;R&amp;G</oddHeader>
    <oddFooter>&amp;L&amp;"Arial,Standard"V8d - Adopté par l'EP, 20 mars 2018&amp;R&amp;"Arial,Standard"Page &amp;P de &amp;N</oddFooter>
  </headerFooter>
  <rowBreaks count="2" manualBreakCount="2">
    <brk id="29" max="6" man="1"/>
    <brk id="57" max="6" man="1"/>
  </rowBreaks>
  <colBreaks count="1" manualBreakCount="1">
    <brk id="7" max="78" man="1"/>
  </col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Titelblatt_Zusammenfassung</vt:lpstr>
      <vt:lpstr>Emissionserklärung Benzin</vt:lpstr>
      <vt:lpstr>Emissionserklärung Flugpetrol</vt:lpstr>
      <vt:lpstr>Benzin</vt:lpstr>
      <vt:lpstr>'Emissionserklärung Benzin'!Druckbereich</vt:lpstr>
      <vt:lpstr>'Emissionserklärung Flugpetrol'!Druckbereich</vt:lpstr>
      <vt:lpstr>Tanktyp</vt:lpstr>
    </vt:vector>
  </TitlesOfParts>
  <Company>CARBURA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B. Rahn</dc:creator>
  <cp:lastModifiedBy>Marcello Fisler</cp:lastModifiedBy>
  <cp:lastPrinted>2021-05-20T12:13:21Z</cp:lastPrinted>
  <dcterms:created xsi:type="dcterms:W3CDTF">2005-06-07T09:48:41Z</dcterms:created>
  <dcterms:modified xsi:type="dcterms:W3CDTF">2021-05-20T12:13:25Z</dcterms:modified>
</cp:coreProperties>
</file>